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checkCompatibility="1" defaultThemeVersion="124226"/>
  <bookViews>
    <workbookView xWindow="15470" yWindow="0" windowWidth="3410" windowHeight="5210" tabRatio="820"/>
  </bookViews>
  <sheets>
    <sheet name="Zonal Rates" sheetId="147" r:id="rId1"/>
    <sheet name="Sch 1 Rates" sheetId="149" r:id="rId2"/>
    <sheet name="OKT Sch 11 Rates" sheetId="232" r:id="rId3"/>
    <sheet name="SWT Sch 11 Rates" sheetId="231" r:id="rId4"/>
    <sheet name="Load WS" sheetId="153" r:id="rId5"/>
    <sheet name="OKT TCOS" sheetId="86" r:id="rId6"/>
    <sheet name="OKT WS A-1 - Plant" sheetId="186" r:id="rId7"/>
    <sheet name="OKT WS A-2 Accumulated Depn" sheetId="188" r:id="rId8"/>
    <sheet name="OKT WS B - Facility credits" sheetId="146" r:id="rId9"/>
    <sheet name="OKT WS C ADIT &amp; ADITC" sheetId="89" r:id="rId10"/>
    <sheet name="OKT WS C-1 ADIT EOY" sheetId="139" r:id="rId11"/>
    <sheet name="OKT WS C-2 ADIT BOY" sheetId="90" r:id="rId12"/>
    <sheet name="OKT WS C-3 ADIT Proration" sheetId="145" r:id="rId13"/>
    <sheet name="OKT WS C-4 Excess FIT" sheetId="193" r:id="rId14"/>
    <sheet name="OKT WS D Working Capital" sheetId="74" r:id="rId15"/>
    <sheet name="OKT WS E IPP Credits" sheetId="52" r:id="rId16"/>
    <sheet name="OKT WS F BPU ATRR" sheetId="143" r:id="rId17"/>
    <sheet name="OKT WS G BPU ATRR" sheetId="129" r:id="rId18"/>
    <sheet name="OKT WS H Rev Credits" sheetId="96" r:id="rId19"/>
    <sheet name="OKT WS I Exp Adj" sheetId="91" r:id="rId20"/>
    <sheet name="OKT WS J Misc Exp" sheetId="39" r:id="rId21"/>
    <sheet name="OKT WS K State Taxes" sheetId="94" r:id="rId22"/>
    <sheet name="OKT WS L Other Taxes" sheetId="78" r:id="rId23"/>
    <sheet name="OKT WS M - Cost of Capital" sheetId="203" r:id="rId24"/>
    <sheet name="OKT WS N Sch 11 TU" sheetId="178" r:id="rId25"/>
    <sheet name="OKT WS O Sch 9 NITS TU" sheetId="179" r:id="rId26"/>
    <sheet name="OKT WS P Sch 1 NITS TU" sheetId="196" r:id="rId27"/>
    <sheet name="OKT WS Q Interest Rate" sheetId="180" r:id="rId28"/>
    <sheet name="OKT WS R Unfunded Reserves" sheetId="189" r:id="rId29"/>
    <sheet name="OKT WS S Reg Assets" sheetId="190" r:id="rId30"/>
    <sheet name="OKT WS T - Dep Rates" sheetId="194" r:id="rId31"/>
    <sheet name="SWT TCOS" sheetId="204" r:id="rId32"/>
    <sheet name="SWT WS A-1 - Plant" sheetId="205" r:id="rId33"/>
    <sheet name="SWT WS A-2 Accumulated Depn" sheetId="206" r:id="rId34"/>
    <sheet name="SWT WS B - Facility credits" sheetId="207" r:id="rId35"/>
    <sheet name="SWT WS C ADIT &amp; ADITC" sheetId="208" r:id="rId36"/>
    <sheet name="SWT WS C-1 ADIT EOY" sheetId="209" r:id="rId37"/>
    <sheet name="SWT WS C-2 ADIT BOY" sheetId="210" r:id="rId38"/>
    <sheet name="SWT WS C-3 ADIT Proration" sheetId="211" r:id="rId39"/>
    <sheet name="SWT WS C-4 Excess FIT" sheetId="212" r:id="rId40"/>
    <sheet name="SWT WS D Working Capital" sheetId="213" r:id="rId41"/>
    <sheet name="SWT WS E IPP Credits" sheetId="214" r:id="rId42"/>
    <sheet name="SWT WS F BPU ATRR" sheetId="215" r:id="rId43"/>
    <sheet name="SWT WS G BPU ATRR" sheetId="216" r:id="rId44"/>
    <sheet name="SWT WS H Rev Credits" sheetId="217" r:id="rId45"/>
    <sheet name="SWT WS I Exp Adj" sheetId="218" r:id="rId46"/>
    <sheet name="SWT WS J Misc Exp" sheetId="219" r:id="rId47"/>
    <sheet name="SWT WS K State Taxes" sheetId="220" r:id="rId48"/>
    <sheet name="SWT WS L Other Taxes" sheetId="221" r:id="rId49"/>
    <sheet name="SWT WS M - Cost of Capital" sheetId="222" r:id="rId50"/>
    <sheet name="SWT WS N Sch 11 TU" sheetId="223" r:id="rId51"/>
    <sheet name="SWT WS O Sch 9 NITS TU" sheetId="224" r:id="rId52"/>
    <sheet name="SWT WS P Sch 1 NITS TU" sheetId="225" r:id="rId53"/>
    <sheet name="SWT WS Q Interest Rate" sheetId="226" r:id="rId54"/>
    <sheet name="SWT WS R Unfunded Reserves" sheetId="227" r:id="rId55"/>
    <sheet name="SWT WS S Reg Assets" sheetId="228" r:id="rId56"/>
  </sheets>
  <definedNames>
    <definedName name="_xlnm.Print_Area" localSheetId="2">'OKT Sch 11 Rates'!$A$1:$T$40</definedName>
    <definedName name="_xlnm.Print_Area" localSheetId="5">'OKT TCOS'!$A$1:$L$340</definedName>
    <definedName name="_xlnm.Print_Area" localSheetId="16">'OKT WS F BPU ATRR'!$A$1:$O$164</definedName>
    <definedName name="_xlnm.Print_Area" localSheetId="17">'OKT WS G BPU ATRR'!$A$1:$Q$166</definedName>
    <definedName name="_xlnm.Print_Area" localSheetId="23">'OKT WS M - Cost of Capital'!$A$1:$H$89</definedName>
    <definedName name="_xlnm.Print_Area" localSheetId="3">'SWT Sch 11 Rates'!$A$1:$T$38</definedName>
    <definedName name="_xlnm.Print_Area" localSheetId="31">'SWT TCOS'!$A$1:$L$342</definedName>
    <definedName name="_xlnm.Print_Area" localSheetId="42">'SWT WS F BPU ATRR'!$A$1:$O$164</definedName>
    <definedName name="_xlnm.Print_Area" localSheetId="43">'SWT WS G BPU ATRR'!$A$1:$P$166</definedName>
    <definedName name="_xlnm.Print_Area" localSheetId="49">'SWT WS M - Cost of Capital'!$A$1:$L$118</definedName>
    <definedName name="_xlnm.Print_Titles" localSheetId="2">'OKT Sch 11 Rates'!$2:$16</definedName>
    <definedName name="_xlnm.Print_Titles" localSheetId="3">'SWT Sch 11 Rates'!$2:$16</definedName>
    <definedName name="Z_3768C7C8_9953_11DA_B318_000FB55D51DC_.wvu.PrintArea" localSheetId="14" hidden="1">'OKT WS D Working Capital'!$A$9:$Q$53</definedName>
    <definedName name="Z_3768C7C8_9953_11DA_B318_000FB55D51DC_.wvu.PrintArea" localSheetId="28" hidden="1">'OKT WS R Unfunded Reserves'!#REF!</definedName>
    <definedName name="Z_3768C7C8_9953_11DA_B318_000FB55D51DC_.wvu.PrintArea" localSheetId="29" hidden="1">'OKT WS S Reg Assets'!#REF!</definedName>
    <definedName name="Z_3768C7C8_9953_11DA_B318_000FB55D51DC_.wvu.PrintArea" localSheetId="40" hidden="1">'SWT WS D Working Capital'!$A$9:$Q$53</definedName>
    <definedName name="Z_3768C7C8_9953_11DA_B318_000FB55D51DC_.wvu.PrintArea" localSheetId="54" hidden="1">'SWT WS R Unfunded Reserves'!#REF!</definedName>
    <definedName name="Z_3768C7C8_9953_11DA_B318_000FB55D51DC_.wvu.PrintArea" localSheetId="55" hidden="1">'SWT WS S Reg Assets'!#REF!</definedName>
    <definedName name="Z_3768C7C8_9953_11DA_B318_000FB55D51DC_.wvu.PrintTitles" localSheetId="14" hidden="1">'OKT WS D Working Capital'!#REF!</definedName>
    <definedName name="Z_3768C7C8_9953_11DA_B318_000FB55D51DC_.wvu.PrintTitles" localSheetId="28" hidden="1">'OKT WS R Unfunded Reserves'!#REF!</definedName>
    <definedName name="Z_3768C7C8_9953_11DA_B318_000FB55D51DC_.wvu.PrintTitles" localSheetId="29" hidden="1">'OKT WS S Reg Assets'!#REF!</definedName>
    <definedName name="Z_3768C7C8_9953_11DA_B318_000FB55D51DC_.wvu.PrintTitles" localSheetId="40" hidden="1">'SWT WS D Working Capital'!#REF!</definedName>
    <definedName name="Z_3768C7C8_9953_11DA_B318_000FB55D51DC_.wvu.PrintTitles" localSheetId="54" hidden="1">'SWT WS R Unfunded Reserves'!#REF!</definedName>
    <definedName name="Z_3768C7C8_9953_11DA_B318_000FB55D51DC_.wvu.PrintTitles" localSheetId="55" hidden="1">'SWT WS S Reg Assets'!#REF!</definedName>
    <definedName name="Z_3768C7C8_9953_11DA_B318_000FB55D51DC_.wvu.Rows" localSheetId="14" hidden="1">'OKT WS D Working Capital'!#REF!</definedName>
    <definedName name="Z_3768C7C8_9953_11DA_B318_000FB55D51DC_.wvu.Rows" localSheetId="28" hidden="1">'OKT WS R Unfunded Reserves'!#REF!</definedName>
    <definedName name="Z_3768C7C8_9953_11DA_B318_000FB55D51DC_.wvu.Rows" localSheetId="29" hidden="1">'OKT WS S Reg Assets'!#REF!</definedName>
    <definedName name="Z_3768C7C8_9953_11DA_B318_000FB55D51DC_.wvu.Rows" localSheetId="40" hidden="1">'SWT WS D Working Capital'!#REF!</definedName>
    <definedName name="Z_3768C7C8_9953_11DA_B318_000FB55D51DC_.wvu.Rows" localSheetId="54" hidden="1">'SWT WS R Unfunded Reserves'!#REF!</definedName>
    <definedName name="Z_3768C7C8_9953_11DA_B318_000FB55D51DC_.wvu.Rows" localSheetId="55" hidden="1">'SWT WS S Reg Assets'!#REF!</definedName>
    <definedName name="Z_3BDD6235_B127_4929_8311_BDAF7BB89818_.wvu.PrintArea" localSheetId="14" hidden="1">'OKT WS D Working Capital'!$A$9:$Q$53</definedName>
    <definedName name="Z_3BDD6235_B127_4929_8311_BDAF7BB89818_.wvu.PrintArea" localSheetId="28" hidden="1">'OKT WS R Unfunded Reserves'!#REF!</definedName>
    <definedName name="Z_3BDD6235_B127_4929_8311_BDAF7BB89818_.wvu.PrintArea" localSheetId="29" hidden="1">'OKT WS S Reg Assets'!#REF!</definedName>
    <definedName name="Z_3BDD6235_B127_4929_8311_BDAF7BB89818_.wvu.PrintArea" localSheetId="40" hidden="1">'SWT WS D Working Capital'!$A$9:$Q$53</definedName>
    <definedName name="Z_3BDD6235_B127_4929_8311_BDAF7BB89818_.wvu.PrintArea" localSheetId="54" hidden="1">'SWT WS R Unfunded Reserves'!#REF!</definedName>
    <definedName name="Z_3BDD6235_B127_4929_8311_BDAF7BB89818_.wvu.PrintArea" localSheetId="55" hidden="1">'SWT WS S Reg Assets'!#REF!</definedName>
    <definedName name="Z_3BDD6235_B127_4929_8311_BDAF7BB89818_.wvu.PrintTitles" localSheetId="14" hidden="1">'OKT WS D Working Capital'!#REF!</definedName>
    <definedName name="Z_3BDD6235_B127_4929_8311_BDAF7BB89818_.wvu.PrintTitles" localSheetId="28" hidden="1">'OKT WS R Unfunded Reserves'!#REF!</definedName>
    <definedName name="Z_3BDD6235_B127_4929_8311_BDAF7BB89818_.wvu.PrintTitles" localSheetId="29" hidden="1">'OKT WS S Reg Assets'!#REF!</definedName>
    <definedName name="Z_3BDD6235_B127_4929_8311_BDAF7BB89818_.wvu.PrintTitles" localSheetId="40" hidden="1">'SWT WS D Working Capital'!#REF!</definedName>
    <definedName name="Z_3BDD6235_B127_4929_8311_BDAF7BB89818_.wvu.PrintTitles" localSheetId="54" hidden="1">'SWT WS R Unfunded Reserves'!#REF!</definedName>
    <definedName name="Z_3BDD6235_B127_4929_8311_BDAF7BB89818_.wvu.PrintTitles" localSheetId="55" hidden="1">'SWT WS S Reg Assets'!#REF!</definedName>
    <definedName name="Z_3BDD6235_B127_4929_8311_BDAF7BB89818_.wvu.Rows" localSheetId="14" hidden="1">'OKT WS D Working Capital'!#REF!</definedName>
    <definedName name="Z_3BDD6235_B127_4929_8311_BDAF7BB89818_.wvu.Rows" localSheetId="28" hidden="1">'OKT WS R Unfunded Reserves'!#REF!</definedName>
    <definedName name="Z_3BDD6235_B127_4929_8311_BDAF7BB89818_.wvu.Rows" localSheetId="29" hidden="1">'OKT WS S Reg Assets'!#REF!</definedName>
    <definedName name="Z_3BDD6235_B127_4929_8311_BDAF7BB89818_.wvu.Rows" localSheetId="40" hidden="1">'SWT WS D Working Capital'!#REF!</definedName>
    <definedName name="Z_3BDD6235_B127_4929_8311_BDAF7BB89818_.wvu.Rows" localSheetId="54" hidden="1">'SWT WS R Unfunded Reserves'!#REF!</definedName>
    <definedName name="Z_3BDD6235_B127_4929_8311_BDAF7BB89818_.wvu.Rows" localSheetId="55" hidden="1">'SWT WS S Reg Assets'!#REF!</definedName>
    <definedName name="Z_B0241363_5C8A_48FC_89A6_56D55586BABE_.wvu.PrintArea" localSheetId="14" hidden="1">'OKT WS D Working Capital'!$A$9:$Q$53</definedName>
    <definedName name="Z_B0241363_5C8A_48FC_89A6_56D55586BABE_.wvu.PrintArea" localSheetId="28" hidden="1">'OKT WS R Unfunded Reserves'!#REF!</definedName>
    <definedName name="Z_B0241363_5C8A_48FC_89A6_56D55586BABE_.wvu.PrintArea" localSheetId="29" hidden="1">'OKT WS S Reg Assets'!#REF!</definedName>
    <definedName name="Z_B0241363_5C8A_48FC_89A6_56D55586BABE_.wvu.PrintArea" localSheetId="40" hidden="1">'SWT WS D Working Capital'!$A$9:$Q$53</definedName>
    <definedName name="Z_B0241363_5C8A_48FC_89A6_56D55586BABE_.wvu.PrintArea" localSheetId="54" hidden="1">'SWT WS R Unfunded Reserves'!#REF!</definedName>
    <definedName name="Z_B0241363_5C8A_48FC_89A6_56D55586BABE_.wvu.PrintArea" localSheetId="55" hidden="1">'SWT WS S Reg Assets'!#REF!</definedName>
    <definedName name="Z_B0241363_5C8A_48FC_89A6_56D55586BABE_.wvu.PrintTitles" localSheetId="14" hidden="1">'OKT WS D Working Capital'!#REF!</definedName>
    <definedName name="Z_B0241363_5C8A_48FC_89A6_56D55586BABE_.wvu.PrintTitles" localSheetId="28" hidden="1">'OKT WS R Unfunded Reserves'!#REF!</definedName>
    <definedName name="Z_B0241363_5C8A_48FC_89A6_56D55586BABE_.wvu.PrintTitles" localSheetId="29" hidden="1">'OKT WS S Reg Assets'!#REF!</definedName>
    <definedName name="Z_B0241363_5C8A_48FC_89A6_56D55586BABE_.wvu.PrintTitles" localSheetId="40" hidden="1">'SWT WS D Working Capital'!#REF!</definedName>
    <definedName name="Z_B0241363_5C8A_48FC_89A6_56D55586BABE_.wvu.PrintTitles" localSheetId="54" hidden="1">'SWT WS R Unfunded Reserves'!#REF!</definedName>
    <definedName name="Z_B0241363_5C8A_48FC_89A6_56D55586BABE_.wvu.PrintTitles" localSheetId="55" hidden="1">'SWT WS S Reg Assets'!#REF!</definedName>
    <definedName name="Z_B0241363_5C8A_48FC_89A6_56D55586BABE_.wvu.Rows" localSheetId="14" hidden="1">'OKT WS D Working Capital'!#REF!</definedName>
    <definedName name="Z_B0241363_5C8A_48FC_89A6_56D55586BABE_.wvu.Rows" localSheetId="28" hidden="1">'OKT WS R Unfunded Reserves'!#REF!</definedName>
    <definedName name="Z_B0241363_5C8A_48FC_89A6_56D55586BABE_.wvu.Rows" localSheetId="29" hidden="1">'OKT WS S Reg Assets'!#REF!</definedName>
    <definedName name="Z_B0241363_5C8A_48FC_89A6_56D55586BABE_.wvu.Rows" localSheetId="40" hidden="1">'SWT WS D Working Capital'!#REF!</definedName>
    <definedName name="Z_B0241363_5C8A_48FC_89A6_56D55586BABE_.wvu.Rows" localSheetId="54" hidden="1">'SWT WS R Unfunded Reserves'!#REF!</definedName>
    <definedName name="Z_B0241363_5C8A_48FC_89A6_56D55586BABE_.wvu.Rows" localSheetId="55" hidden="1">'SWT WS S Reg Assets'!#REF!</definedName>
    <definedName name="Z_C0EA0F9F_7310_4201_82C9_7B8FC8DB9137_.wvu.PrintArea" localSheetId="14" hidden="1">'OKT WS D Working Capital'!$A$9:$Q$53</definedName>
    <definedName name="Z_C0EA0F9F_7310_4201_82C9_7B8FC8DB9137_.wvu.PrintArea" localSheetId="28" hidden="1">'OKT WS R Unfunded Reserves'!#REF!</definedName>
    <definedName name="Z_C0EA0F9F_7310_4201_82C9_7B8FC8DB9137_.wvu.PrintArea" localSheetId="29" hidden="1">'OKT WS S Reg Assets'!#REF!</definedName>
    <definedName name="Z_C0EA0F9F_7310_4201_82C9_7B8FC8DB9137_.wvu.PrintArea" localSheetId="40" hidden="1">'SWT WS D Working Capital'!$A$9:$Q$53</definedName>
    <definedName name="Z_C0EA0F9F_7310_4201_82C9_7B8FC8DB9137_.wvu.PrintArea" localSheetId="54" hidden="1">'SWT WS R Unfunded Reserves'!#REF!</definedName>
    <definedName name="Z_C0EA0F9F_7310_4201_82C9_7B8FC8DB9137_.wvu.PrintArea" localSheetId="55" hidden="1">'SWT WS S Reg Assets'!#REF!</definedName>
    <definedName name="Z_C0EA0F9F_7310_4201_82C9_7B8FC8DB9137_.wvu.PrintTitles" localSheetId="14" hidden="1">'OKT WS D Working Capital'!#REF!</definedName>
    <definedName name="Z_C0EA0F9F_7310_4201_82C9_7B8FC8DB9137_.wvu.PrintTitles" localSheetId="28" hidden="1">'OKT WS R Unfunded Reserves'!#REF!</definedName>
    <definedName name="Z_C0EA0F9F_7310_4201_82C9_7B8FC8DB9137_.wvu.PrintTitles" localSheetId="29" hidden="1">'OKT WS S Reg Assets'!#REF!</definedName>
    <definedName name="Z_C0EA0F9F_7310_4201_82C9_7B8FC8DB9137_.wvu.PrintTitles" localSheetId="40" hidden="1">'SWT WS D Working Capital'!#REF!</definedName>
    <definedName name="Z_C0EA0F9F_7310_4201_82C9_7B8FC8DB9137_.wvu.PrintTitles" localSheetId="54" hidden="1">'SWT WS R Unfunded Reserves'!#REF!</definedName>
    <definedName name="Z_C0EA0F9F_7310_4201_82C9_7B8FC8DB9137_.wvu.PrintTitles" localSheetId="55" hidden="1">'SWT WS S Reg Assets'!#REF!</definedName>
    <definedName name="Z_C0EA0F9F_7310_4201_82C9_7B8FC8DB9137_.wvu.Rows" localSheetId="14" hidden="1">'OKT WS D Working Capital'!#REF!</definedName>
    <definedName name="Z_C0EA0F9F_7310_4201_82C9_7B8FC8DB9137_.wvu.Rows" localSheetId="28" hidden="1">'OKT WS R Unfunded Reserves'!#REF!</definedName>
    <definedName name="Z_C0EA0F9F_7310_4201_82C9_7B8FC8DB9137_.wvu.Rows" localSheetId="29" hidden="1">'OKT WS S Reg Assets'!#REF!</definedName>
    <definedName name="Z_C0EA0F9F_7310_4201_82C9_7B8FC8DB9137_.wvu.Rows" localSheetId="40" hidden="1">'SWT WS D Working Capital'!#REF!</definedName>
    <definedName name="Z_C0EA0F9F_7310_4201_82C9_7B8FC8DB9137_.wvu.Rows" localSheetId="54" hidden="1">'SWT WS R Unfunded Reserves'!#REF!</definedName>
    <definedName name="Z_C0EA0F9F_7310_4201_82C9_7B8FC8DB9137_.wvu.Rows" localSheetId="55" hidden="1">'SWT WS S Reg Assets'!#REF!</definedName>
  </definedNames>
  <calcPr calcId="162913"/>
</workbook>
</file>

<file path=xl/calcChain.xml><?xml version="1.0" encoding="utf-8"?>
<calcChain xmlns="http://schemas.openxmlformats.org/spreadsheetml/2006/main">
  <c r="E42" i="193" l="1"/>
  <c r="L207" i="86" l="1"/>
  <c r="I30" i="147" l="1"/>
  <c r="N18" i="209" l="1"/>
  <c r="M18" i="209"/>
  <c r="L18" i="209"/>
  <c r="H18" i="209" l="1"/>
  <c r="G154" i="86" l="1"/>
  <c r="J25" i="210" l="1"/>
  <c r="J24" i="210"/>
  <c r="J44" i="210"/>
  <c r="J43" i="210"/>
  <c r="K28" i="209"/>
  <c r="J25" i="209"/>
  <c r="J24" i="209"/>
  <c r="N10" i="210"/>
  <c r="M10" i="210"/>
  <c r="L10" i="210"/>
  <c r="K10" i="210"/>
  <c r="J10" i="210"/>
  <c r="N11" i="209"/>
  <c r="M11" i="209"/>
  <c r="L11" i="209"/>
  <c r="K11" i="209"/>
  <c r="J11" i="209"/>
  <c r="N28" i="210"/>
  <c r="M28" i="210"/>
  <c r="L28" i="210"/>
  <c r="J28" i="210"/>
  <c r="K28" i="210"/>
  <c r="N28" i="209"/>
  <c r="M28" i="209"/>
  <c r="L28" i="209"/>
  <c r="J28" i="209"/>
  <c r="J33" i="90"/>
  <c r="J33" i="139"/>
  <c r="K13" i="139"/>
  <c r="K11" i="139"/>
  <c r="B3" i="153" l="1"/>
  <c r="E46" i="153" l="1"/>
  <c r="Q32" i="153"/>
  <c r="S32" i="153" s="1"/>
  <c r="E33" i="153"/>
  <c r="G46" i="153"/>
  <c r="K46" i="153"/>
  <c r="O46" i="153"/>
  <c r="F46" i="153"/>
  <c r="J46" i="153"/>
  <c r="N46" i="153"/>
  <c r="H46" i="153"/>
  <c r="L46" i="153"/>
  <c r="P46" i="153"/>
  <c r="I46" i="153"/>
  <c r="M46" i="153"/>
  <c r="M33" i="153"/>
  <c r="I33" i="153"/>
  <c r="G33" i="153"/>
  <c r="K33" i="153"/>
  <c r="O33" i="153"/>
  <c r="F33" i="153"/>
  <c r="J33" i="153"/>
  <c r="N33" i="153"/>
  <c r="H33" i="153"/>
  <c r="L33" i="153"/>
  <c r="P33" i="153"/>
  <c r="M17" i="96" l="1"/>
  <c r="K40" i="78"/>
  <c r="K38" i="78"/>
  <c r="G43" i="222"/>
  <c r="F43" i="222"/>
  <c r="E43" i="222"/>
  <c r="D43" i="222"/>
  <c r="C43" i="222"/>
  <c r="F24" i="222"/>
  <c r="E24" i="222"/>
  <c r="D24" i="222"/>
  <c r="P49" i="213"/>
  <c r="P48" i="213"/>
  <c r="P47" i="213"/>
  <c r="P46" i="213"/>
  <c r="P45" i="213"/>
  <c r="P44" i="213"/>
  <c r="P43" i="213"/>
  <c r="P42" i="213"/>
  <c r="P41" i="213"/>
  <c r="P40" i="213"/>
  <c r="P39" i="213"/>
  <c r="P38" i="213"/>
  <c r="P37" i="213"/>
  <c r="P36" i="213"/>
  <c r="P35" i="213"/>
  <c r="P34" i="213"/>
  <c r="P33" i="213"/>
  <c r="P32" i="213"/>
  <c r="P31" i="213"/>
  <c r="P30" i="213"/>
  <c r="P29" i="213"/>
  <c r="P28" i="213"/>
  <c r="P27" i="213"/>
  <c r="P26" i="213"/>
  <c r="P25" i="213"/>
  <c r="P18" i="213"/>
  <c r="P17" i="213"/>
  <c r="P16" i="213"/>
  <c r="G11" i="213"/>
  <c r="H24" i="206"/>
  <c r="G24" i="206"/>
  <c r="F24" i="206"/>
  <c r="E24" i="206"/>
  <c r="D24" i="206"/>
  <c r="C24" i="206"/>
  <c r="G44" i="206"/>
  <c r="F44" i="206"/>
  <c r="E44" i="206"/>
  <c r="D44" i="206"/>
  <c r="C44" i="206"/>
  <c r="G44" i="205"/>
  <c r="F44" i="205"/>
  <c r="E44" i="205"/>
  <c r="D44" i="205"/>
  <c r="C44" i="205"/>
  <c r="H24" i="205"/>
  <c r="G24" i="205"/>
  <c r="F24" i="205"/>
  <c r="E24" i="205"/>
  <c r="D24" i="205"/>
  <c r="C24" i="205"/>
  <c r="G43" i="203"/>
  <c r="F43" i="203"/>
  <c r="D43" i="203"/>
  <c r="C43" i="203"/>
  <c r="F24" i="203"/>
  <c r="E24" i="203"/>
  <c r="D24" i="203"/>
  <c r="H24" i="188"/>
  <c r="G24" i="188"/>
  <c r="F24" i="188"/>
  <c r="E24" i="188"/>
  <c r="D24" i="188"/>
  <c r="C24" i="188"/>
  <c r="F44" i="188"/>
  <c r="D44" i="188"/>
  <c r="C44" i="188"/>
  <c r="H24" i="186"/>
  <c r="G24" i="186"/>
  <c r="F24" i="186"/>
  <c r="E24" i="186"/>
  <c r="D24" i="186"/>
  <c r="C24" i="186"/>
  <c r="D44" i="186"/>
  <c r="P49" i="74"/>
  <c r="P48" i="74"/>
  <c r="P47" i="74"/>
  <c r="P46" i="74"/>
  <c r="P45" i="74"/>
  <c r="P44" i="74"/>
  <c r="P43" i="74"/>
  <c r="P42" i="74"/>
  <c r="P41" i="74"/>
  <c r="P40" i="74"/>
  <c r="P39" i="74"/>
  <c r="P38" i="74"/>
  <c r="P37" i="74"/>
  <c r="P36" i="74"/>
  <c r="P35" i="74"/>
  <c r="P34" i="74"/>
  <c r="P33" i="74"/>
  <c r="P32" i="74"/>
  <c r="P31" i="74"/>
  <c r="P30" i="74"/>
  <c r="P29" i="74"/>
  <c r="P28" i="74"/>
  <c r="P18" i="74"/>
  <c r="P17" i="74"/>
  <c r="P16" i="74"/>
  <c r="G11" i="74"/>
  <c r="P27" i="74" l="1"/>
  <c r="E44" i="188"/>
  <c r="P25" i="74"/>
  <c r="P26" i="74"/>
  <c r="E43" i="203" l="1"/>
  <c r="C24" i="203"/>
  <c r="C24" i="222"/>
  <c r="N50" i="90"/>
  <c r="K49" i="90"/>
  <c r="K18" i="90"/>
  <c r="J17" i="90"/>
  <c r="K39" i="78" l="1"/>
  <c r="G20" i="78"/>
  <c r="G21" i="78"/>
  <c r="R13" i="129" l="1"/>
  <c r="R15" i="129"/>
  <c r="G25" i="193" l="1"/>
  <c r="G25" i="212"/>
  <c r="F25" i="212"/>
  <c r="P38" i="232" l="1"/>
  <c r="I38" i="232"/>
  <c r="O35" i="232" l="1"/>
  <c r="G36" i="232"/>
  <c r="K36" i="232"/>
  <c r="O36" i="232"/>
  <c r="R36" i="232" s="1"/>
  <c r="V36" i="232" l="1"/>
  <c r="F6" i="149" l="1"/>
  <c r="F44" i="186"/>
  <c r="G42" i="193" l="1"/>
  <c r="G21" i="193" l="1"/>
  <c r="J9" i="178" l="1"/>
  <c r="K10" i="90" l="1"/>
  <c r="E38" i="193" l="1"/>
  <c r="E253" i="86" l="1"/>
  <c r="L247" i="86"/>
  <c r="L246" i="86"/>
  <c r="L243" i="86"/>
  <c r="N22" i="139" l="1"/>
  <c r="M22" i="139"/>
  <c r="L22" i="139"/>
  <c r="J22" i="139"/>
  <c r="M21" i="139"/>
  <c r="L21" i="139"/>
  <c r="K21" i="139"/>
  <c r="J21" i="139"/>
  <c r="N20" i="139"/>
  <c r="M20" i="139"/>
  <c r="L20" i="139"/>
  <c r="J20" i="139"/>
  <c r="N19" i="139"/>
  <c r="M19" i="139"/>
  <c r="L19" i="139"/>
  <c r="J19" i="139"/>
  <c r="N18" i="139"/>
  <c r="M18" i="139"/>
  <c r="L18" i="139"/>
  <c r="J18" i="139"/>
  <c r="N17" i="139"/>
  <c r="M17" i="139"/>
  <c r="L17" i="139"/>
  <c r="K17" i="139"/>
  <c r="N16" i="139"/>
  <c r="M16" i="139"/>
  <c r="L16" i="139"/>
  <c r="J16" i="139"/>
  <c r="N15" i="139"/>
  <c r="M15" i="139"/>
  <c r="L15" i="139"/>
  <c r="J15" i="139"/>
  <c r="N14" i="139"/>
  <c r="M14" i="139"/>
  <c r="L14" i="139"/>
  <c r="J14" i="139"/>
  <c r="N12" i="139"/>
  <c r="M12" i="139"/>
  <c r="L12" i="139"/>
  <c r="K12" i="139"/>
  <c r="N54" i="139" l="1"/>
  <c r="M54" i="139"/>
  <c r="L54" i="139"/>
  <c r="K54" i="139"/>
  <c r="N53" i="139"/>
  <c r="M53" i="139"/>
  <c r="L53" i="139"/>
  <c r="K53" i="139"/>
  <c r="N52" i="139"/>
  <c r="M52" i="139"/>
  <c r="L52" i="139"/>
  <c r="J52" i="139"/>
  <c r="N51" i="139"/>
  <c r="M51" i="139"/>
  <c r="L51" i="139"/>
  <c r="K51" i="139"/>
  <c r="M50" i="139"/>
  <c r="L50" i="139"/>
  <c r="K50" i="139"/>
  <c r="J50" i="139"/>
  <c r="N49" i="139"/>
  <c r="M49" i="139"/>
  <c r="L49" i="139"/>
  <c r="J49" i="139"/>
  <c r="N48" i="139"/>
  <c r="M48" i="139"/>
  <c r="L48" i="139"/>
  <c r="J48" i="139"/>
  <c r="N47" i="139"/>
  <c r="M47" i="139"/>
  <c r="L47" i="139"/>
  <c r="J47" i="139"/>
  <c r="N46" i="139"/>
  <c r="M46" i="139"/>
  <c r="L46" i="139"/>
  <c r="K46" i="139"/>
  <c r="J51" i="139"/>
  <c r="H12" i="145" l="1"/>
  <c r="C44" i="186" l="1"/>
  <c r="E44" i="186"/>
  <c r="K20" i="139" l="1"/>
  <c r="K19" i="139"/>
  <c r="K18" i="139"/>
  <c r="J17" i="139"/>
  <c r="F25" i="193"/>
  <c r="E41" i="193"/>
  <c r="K22" i="139"/>
  <c r="N21" i="139"/>
  <c r="K16" i="139"/>
  <c r="K15" i="139"/>
  <c r="K14" i="139"/>
  <c r="J12" i="139"/>
  <c r="K49" i="139"/>
  <c r="K48" i="139"/>
  <c r="K47" i="139"/>
  <c r="J54" i="139"/>
  <c r="J53" i="139"/>
  <c r="K52" i="139"/>
  <c r="N50" i="139"/>
  <c r="J46" i="139"/>
  <c r="J51" i="90" l="1"/>
  <c r="K47" i="90"/>
  <c r="N20" i="90"/>
  <c r="K14" i="90"/>
  <c r="K20" i="90"/>
  <c r="K19" i="90"/>
  <c r="K10" i="139" l="1"/>
  <c r="F44" i="219"/>
  <c r="F17" i="219"/>
  <c r="F16" i="219"/>
  <c r="F15" i="219"/>
  <c r="F44" i="39"/>
  <c r="F34" i="39"/>
  <c r="F18" i="39"/>
  <c r="F17" i="39"/>
  <c r="F16" i="39"/>
  <c r="F15" i="39"/>
  <c r="F34" i="219"/>
  <c r="F18" i="219"/>
  <c r="G18" i="213" l="1"/>
  <c r="G17" i="213"/>
  <c r="G16" i="213"/>
  <c r="G18" i="74"/>
  <c r="G17" i="74"/>
  <c r="G16" i="74"/>
  <c r="E37" i="193" l="1"/>
  <c r="F21" i="193"/>
  <c r="E41" i="212"/>
  <c r="E37" i="212"/>
  <c r="G21" i="212"/>
  <c r="F21" i="212"/>
  <c r="N16" i="210"/>
  <c r="M16" i="210"/>
  <c r="L16" i="210"/>
  <c r="K16" i="210"/>
  <c r="J16" i="210"/>
  <c r="M12" i="210"/>
  <c r="L12" i="210"/>
  <c r="K12" i="210"/>
  <c r="J12" i="210"/>
  <c r="N11" i="210"/>
  <c r="M11" i="210"/>
  <c r="L11" i="210"/>
  <c r="K11" i="210"/>
  <c r="J11" i="210"/>
  <c r="J22" i="210"/>
  <c r="K22" i="210"/>
  <c r="L22" i="210"/>
  <c r="M22" i="210"/>
  <c r="N22" i="210"/>
  <c r="J23" i="210"/>
  <c r="K23" i="210"/>
  <c r="L23" i="210"/>
  <c r="M23" i="210"/>
  <c r="N23" i="210"/>
  <c r="L26" i="210"/>
  <c r="M26" i="210"/>
  <c r="N26" i="210"/>
  <c r="N45" i="210"/>
  <c r="M45" i="210"/>
  <c r="L45" i="210"/>
  <c r="K45" i="210"/>
  <c r="J45" i="210"/>
  <c r="N44" i="210"/>
  <c r="M44" i="210"/>
  <c r="L44" i="210"/>
  <c r="K44" i="210"/>
  <c r="N43" i="210"/>
  <c r="M43" i="210"/>
  <c r="L43" i="210"/>
  <c r="K43" i="210"/>
  <c r="N42" i="210"/>
  <c r="M42" i="210"/>
  <c r="L42" i="210"/>
  <c r="K42" i="210"/>
  <c r="J42" i="210"/>
  <c r="N41" i="210"/>
  <c r="M41" i="210"/>
  <c r="L41" i="210"/>
  <c r="K41" i="210"/>
  <c r="J41" i="210"/>
  <c r="N40" i="210"/>
  <c r="M40" i="210"/>
  <c r="L40" i="210"/>
  <c r="K40" i="210"/>
  <c r="J40" i="210"/>
  <c r="N39" i="210"/>
  <c r="M39" i="210"/>
  <c r="L39" i="210"/>
  <c r="K39" i="210"/>
  <c r="J39" i="210"/>
  <c r="N38" i="210"/>
  <c r="M38" i="210"/>
  <c r="L38" i="210"/>
  <c r="K38" i="210"/>
  <c r="J38" i="210"/>
  <c r="N37" i="210"/>
  <c r="M37" i="210"/>
  <c r="L37" i="210"/>
  <c r="K37" i="210"/>
  <c r="J37" i="210"/>
  <c r="N36" i="210"/>
  <c r="M36" i="210"/>
  <c r="L36" i="210"/>
  <c r="K36" i="210"/>
  <c r="J36" i="210"/>
  <c r="N35" i="210"/>
  <c r="M35" i="210"/>
  <c r="L35" i="210"/>
  <c r="K35" i="210"/>
  <c r="J35" i="210"/>
  <c r="N34" i="210"/>
  <c r="M34" i="210"/>
  <c r="L34" i="210"/>
  <c r="K34" i="210"/>
  <c r="J34" i="210"/>
  <c r="A5" i="194" l="1"/>
  <c r="B2" i="153"/>
  <c r="B4" i="178"/>
  <c r="B4" i="179"/>
  <c r="B4" i="196"/>
  <c r="A5" i="180"/>
  <c r="A5" i="226"/>
  <c r="B4" i="225"/>
  <c r="B4" i="224"/>
  <c r="B4" i="223"/>
  <c r="F4" i="149" l="1"/>
  <c r="F5" i="149" l="1"/>
  <c r="J11" i="196" l="1"/>
  <c r="J11" i="179"/>
  <c r="U2" i="232" l="1"/>
  <c r="U2" i="231"/>
  <c r="H8" i="231"/>
  <c r="H8" i="232"/>
  <c r="N38" i="232"/>
  <c r="M38" i="232"/>
  <c r="J38" i="232"/>
  <c r="F38" i="232"/>
  <c r="E38" i="232"/>
  <c r="O13" i="232"/>
  <c r="K13" i="232"/>
  <c r="R13" i="232" s="1"/>
  <c r="G13" i="232"/>
  <c r="N36" i="231"/>
  <c r="M36" i="231"/>
  <c r="J36" i="231"/>
  <c r="I36" i="231"/>
  <c r="F36" i="231"/>
  <c r="E36" i="231"/>
  <c r="W33" i="231"/>
  <c r="O33" i="231"/>
  <c r="K33" i="231"/>
  <c r="G33" i="231"/>
  <c r="W32" i="231"/>
  <c r="O32" i="231"/>
  <c r="K32" i="231"/>
  <c r="G32" i="231"/>
  <c r="W31" i="231"/>
  <c r="O31" i="231"/>
  <c r="K31" i="231"/>
  <c r="G31" i="231"/>
  <c r="W30" i="231"/>
  <c r="O30" i="231"/>
  <c r="V30" i="231" s="1"/>
  <c r="K30" i="231"/>
  <c r="G30" i="231"/>
  <c r="W29" i="231"/>
  <c r="V29" i="231"/>
  <c r="O29" i="231"/>
  <c r="K29" i="231"/>
  <c r="R29" i="231" s="1"/>
  <c r="G29" i="231"/>
  <c r="T29" i="231" s="1"/>
  <c r="W28" i="231"/>
  <c r="O28" i="231"/>
  <c r="K28" i="231"/>
  <c r="R28" i="231" s="1"/>
  <c r="T28" i="231" s="1"/>
  <c r="G28" i="231"/>
  <c r="W27" i="231"/>
  <c r="O27" i="231"/>
  <c r="K27" i="231"/>
  <c r="G27" i="231"/>
  <c r="W26" i="231"/>
  <c r="O26" i="231"/>
  <c r="K26" i="231"/>
  <c r="G26" i="231"/>
  <c r="W25" i="231"/>
  <c r="O25" i="231"/>
  <c r="K25" i="231"/>
  <c r="V25" i="231" s="1"/>
  <c r="G25" i="231"/>
  <c r="W24" i="231"/>
  <c r="O24" i="231"/>
  <c r="K24" i="231"/>
  <c r="G24" i="231"/>
  <c r="W23" i="231"/>
  <c r="O23" i="231"/>
  <c r="K23" i="231"/>
  <c r="V23" i="231" s="1"/>
  <c r="G23" i="231"/>
  <c r="W22" i="231"/>
  <c r="O22" i="231"/>
  <c r="K22" i="231"/>
  <c r="V22" i="231" s="1"/>
  <c r="G22" i="231"/>
  <c r="W21" i="231"/>
  <c r="O21" i="231"/>
  <c r="R21" i="231" s="1"/>
  <c r="K21" i="231"/>
  <c r="G21" i="231"/>
  <c r="W20" i="231"/>
  <c r="R20" i="231"/>
  <c r="O20" i="231"/>
  <c r="K20" i="231"/>
  <c r="G20" i="231"/>
  <c r="W19" i="231"/>
  <c r="O19" i="231"/>
  <c r="K19" i="231"/>
  <c r="G19" i="231"/>
  <c r="W18" i="231"/>
  <c r="O18" i="231"/>
  <c r="K18" i="231"/>
  <c r="V18" i="231" s="1"/>
  <c r="G18" i="231"/>
  <c r="W17" i="231"/>
  <c r="O17" i="231"/>
  <c r="K17" i="231"/>
  <c r="G17" i="231"/>
  <c r="O13" i="231"/>
  <c r="K13" i="231"/>
  <c r="G13" i="231"/>
  <c r="K36" i="231" l="1"/>
  <c r="T21" i="231"/>
  <c r="R27" i="231"/>
  <c r="T27" i="231" s="1"/>
  <c r="V28" i="231"/>
  <c r="R13" i="231"/>
  <c r="R19" i="231"/>
  <c r="T19" i="231" s="1"/>
  <c r="V20" i="231"/>
  <c r="V21" i="231"/>
  <c r="V32" i="231"/>
  <c r="E14" i="232"/>
  <c r="I14" i="232"/>
  <c r="H4" i="232"/>
  <c r="H4" i="231" s="1"/>
  <c r="I14" i="231"/>
  <c r="R22" i="231"/>
  <c r="T22" i="231" s="1"/>
  <c r="V24" i="231"/>
  <c r="V26" i="231"/>
  <c r="V31" i="231"/>
  <c r="V33" i="231"/>
  <c r="O36" i="231"/>
  <c r="R30" i="231"/>
  <c r="T30" i="231" s="1"/>
  <c r="T20" i="231"/>
  <c r="T13" i="232"/>
  <c r="G38" i="232"/>
  <c r="O38" i="232"/>
  <c r="T15" i="232"/>
  <c r="T15" i="231"/>
  <c r="T13" i="231"/>
  <c r="T32" i="231"/>
  <c r="R18" i="231"/>
  <c r="T18" i="231" s="1"/>
  <c r="R26" i="231"/>
  <c r="T26" i="231" s="1"/>
  <c r="V27" i="231"/>
  <c r="R33" i="231"/>
  <c r="T33" i="231" s="1"/>
  <c r="G36" i="231"/>
  <c r="R24" i="231"/>
  <c r="T24" i="231" s="1"/>
  <c r="R32" i="231"/>
  <c r="R17" i="231"/>
  <c r="T17" i="231" s="1"/>
  <c r="V19" i="231"/>
  <c r="R25" i="231"/>
  <c r="T25" i="231" s="1"/>
  <c r="E14" i="231"/>
  <c r="V17" i="231"/>
  <c r="R23" i="231"/>
  <c r="T23" i="231" s="1"/>
  <c r="R31" i="231"/>
  <c r="T31" i="231" s="1"/>
  <c r="V36" i="231" l="1"/>
  <c r="T36" i="231"/>
  <c r="R36" i="231"/>
  <c r="S49" i="216" l="1"/>
  <c r="S48" i="216"/>
  <c r="S47" i="216"/>
  <c r="S46" i="216"/>
  <c r="O19" i="216"/>
  <c r="N19" i="216"/>
  <c r="O18" i="216"/>
  <c r="N18" i="216"/>
  <c r="O19" i="129"/>
  <c r="N19" i="129"/>
  <c r="G23" i="86" s="1"/>
  <c r="O18" i="129"/>
  <c r="N18" i="129"/>
  <c r="S49" i="129"/>
  <c r="S48" i="129"/>
  <c r="S47" i="129"/>
  <c r="S46" i="129"/>
  <c r="P18" i="216" l="1"/>
  <c r="P19" i="216"/>
  <c r="P19" i="129"/>
  <c r="P18" i="129"/>
  <c r="N2" i="204"/>
  <c r="L15" i="149"/>
  <c r="J45" i="228"/>
  <c r="I45" i="228"/>
  <c r="K44" i="228"/>
  <c r="N44" i="228" s="1"/>
  <c r="K43" i="228"/>
  <c r="N43" i="228" s="1"/>
  <c r="K42" i="228"/>
  <c r="N42" i="228" s="1"/>
  <c r="K41" i="228"/>
  <c r="N41" i="228" s="1"/>
  <c r="K40" i="228"/>
  <c r="N40" i="228" s="1"/>
  <c r="N45" i="228" s="1"/>
  <c r="L96" i="204" s="1"/>
  <c r="I33" i="228"/>
  <c r="I28" i="228"/>
  <c r="I23" i="228"/>
  <c r="I16" i="228"/>
  <c r="B16" i="228"/>
  <c r="B18" i="228" s="1"/>
  <c r="B15" i="228"/>
  <c r="B14" i="228"/>
  <c r="B13" i="228"/>
  <c r="B12" i="228"/>
  <c r="B11" i="228"/>
  <c r="A5" i="228"/>
  <c r="A2" i="228"/>
  <c r="G16" i="227"/>
  <c r="F16" i="227"/>
  <c r="H15" i="227"/>
  <c r="H14" i="227"/>
  <c r="H13" i="227"/>
  <c r="H12" i="227"/>
  <c r="A12" i="227"/>
  <c r="A13" i="227" s="1"/>
  <c r="A14" i="227" s="1"/>
  <c r="A15" i="227" s="1"/>
  <c r="A16" i="227" s="1"/>
  <c r="E98" i="204" s="1"/>
  <c r="H11" i="227"/>
  <c r="A5" i="227"/>
  <c r="A2" i="227"/>
  <c r="E39" i="226"/>
  <c r="L59" i="223" s="1"/>
  <c r="A25" i="226"/>
  <c r="A8" i="226"/>
  <c r="L40" i="225"/>
  <c r="L39" i="225"/>
  <c r="L38" i="225"/>
  <c r="L37" i="225"/>
  <c r="L36" i="225"/>
  <c r="L35" i="225"/>
  <c r="L32" i="225"/>
  <c r="L31" i="225"/>
  <c r="L30" i="225"/>
  <c r="L29" i="225"/>
  <c r="L28" i="225"/>
  <c r="L27" i="225"/>
  <c r="L26" i="225"/>
  <c r="L25" i="225"/>
  <c r="L24" i="225"/>
  <c r="L23" i="225"/>
  <c r="L22" i="225"/>
  <c r="L21" i="225"/>
  <c r="N21" i="225" s="1"/>
  <c r="J21" i="225"/>
  <c r="B7" i="225"/>
  <c r="L40" i="224"/>
  <c r="L39" i="224"/>
  <c r="L38" i="224"/>
  <c r="L37" i="224"/>
  <c r="L36" i="224"/>
  <c r="L35" i="224"/>
  <c r="L32" i="224"/>
  <c r="L31" i="224"/>
  <c r="L30" i="224"/>
  <c r="L29" i="224"/>
  <c r="L28" i="224"/>
  <c r="L27" i="224"/>
  <c r="L26" i="224"/>
  <c r="L25" i="224"/>
  <c r="L24" i="224"/>
  <c r="L23" i="224"/>
  <c r="L22" i="224"/>
  <c r="L21" i="224"/>
  <c r="N21" i="224" s="1"/>
  <c r="J21" i="224"/>
  <c r="B7" i="224"/>
  <c r="L44" i="223"/>
  <c r="L43" i="223"/>
  <c r="L42" i="223"/>
  <c r="L41" i="223"/>
  <c r="L40" i="223"/>
  <c r="L39" i="223"/>
  <c r="L38" i="223"/>
  <c r="L37" i="223"/>
  <c r="L36" i="223"/>
  <c r="L35" i="223"/>
  <c r="L34" i="223"/>
  <c r="L33" i="223"/>
  <c r="L30" i="223"/>
  <c r="L29" i="223"/>
  <c r="L28" i="223"/>
  <c r="L27" i="223"/>
  <c r="L26" i="223"/>
  <c r="L25" i="223"/>
  <c r="L24" i="223"/>
  <c r="L23" i="223"/>
  <c r="L22" i="223"/>
  <c r="L21" i="223"/>
  <c r="L20" i="223"/>
  <c r="L19" i="223"/>
  <c r="J19" i="223"/>
  <c r="F11" i="223"/>
  <c r="D19" i="223" s="1"/>
  <c r="B7" i="223"/>
  <c r="D76" i="222"/>
  <c r="C76" i="222"/>
  <c r="E52" i="222" s="1"/>
  <c r="F75" i="222"/>
  <c r="E74" i="222"/>
  <c r="E73" i="222"/>
  <c r="E72" i="222"/>
  <c r="E71" i="222"/>
  <c r="E70" i="222"/>
  <c r="E69" i="222"/>
  <c r="E68" i="222"/>
  <c r="E67" i="222"/>
  <c r="E66" i="222"/>
  <c r="H42" i="222"/>
  <c r="H41" i="222"/>
  <c r="H40" i="222"/>
  <c r="H39" i="222"/>
  <c r="H38" i="222"/>
  <c r="H37" i="222"/>
  <c r="H36" i="222"/>
  <c r="H35" i="222"/>
  <c r="H34" i="222"/>
  <c r="H33" i="222"/>
  <c r="H32" i="222"/>
  <c r="H31" i="222"/>
  <c r="H30" i="222"/>
  <c r="H43" i="222" s="1"/>
  <c r="E86" i="222"/>
  <c r="E88" i="222" s="1"/>
  <c r="G23" i="222"/>
  <c r="G22" i="222"/>
  <c r="G21" i="222"/>
  <c r="G20" i="222"/>
  <c r="G19" i="222"/>
  <c r="G18" i="222"/>
  <c r="G17" i="222"/>
  <c r="G16" i="222"/>
  <c r="G15" i="222"/>
  <c r="G14" i="222"/>
  <c r="G13" i="222"/>
  <c r="G12" i="222"/>
  <c r="A12" i="222"/>
  <c r="A13" i="222" s="1"/>
  <c r="A14" i="222" s="1"/>
  <c r="A15" i="222" s="1"/>
  <c r="A16" i="222" s="1"/>
  <c r="A17" i="222" s="1"/>
  <c r="A18" i="222" s="1"/>
  <c r="A19" i="222" s="1"/>
  <c r="A20" i="222" s="1"/>
  <c r="A21" i="222" s="1"/>
  <c r="A22" i="222" s="1"/>
  <c r="A23" i="222" s="1"/>
  <c r="A24" i="222" s="1"/>
  <c r="G11" i="222"/>
  <c r="A5" i="222"/>
  <c r="A2" i="222"/>
  <c r="G189" i="221"/>
  <c r="E54" i="221"/>
  <c r="M52" i="221"/>
  <c r="K50" i="221"/>
  <c r="K49" i="221"/>
  <c r="K48" i="221"/>
  <c r="M47" i="221"/>
  <c r="M46" i="221"/>
  <c r="M45" i="221"/>
  <c r="K44" i="221"/>
  <c r="K43" i="221"/>
  <c r="K42" i="221"/>
  <c r="K41" i="221"/>
  <c r="K40" i="221"/>
  <c r="K39" i="221"/>
  <c r="M38" i="221"/>
  <c r="M33" i="221"/>
  <c r="I29" i="221"/>
  <c r="I28" i="221"/>
  <c r="I27" i="221"/>
  <c r="I54" i="221" s="1"/>
  <c r="G160" i="204" s="1"/>
  <c r="M24" i="221"/>
  <c r="G21" i="221"/>
  <c r="G20" i="221"/>
  <c r="M16" i="221"/>
  <c r="A16" i="221"/>
  <c r="A17" i="221" s="1"/>
  <c r="A19" i="221" s="1"/>
  <c r="A20" i="221" s="1"/>
  <c r="A21" i="221" s="1"/>
  <c r="A22" i="221" s="1"/>
  <c r="A23" i="221" s="1"/>
  <c r="A24" i="221" s="1"/>
  <c r="A26" i="221" s="1"/>
  <c r="A27" i="221" s="1"/>
  <c r="A28" i="221" s="1"/>
  <c r="A29" i="221" s="1"/>
  <c r="A30" i="221" s="1"/>
  <c r="A32" i="221" s="1"/>
  <c r="A33" i="221" s="1"/>
  <c r="A34" i="221" s="1"/>
  <c r="A35" i="221" s="1"/>
  <c r="A37" i="221" s="1"/>
  <c r="A38" i="221" s="1"/>
  <c r="A39" i="221" s="1"/>
  <c r="A40" i="221" s="1"/>
  <c r="A41" i="221" s="1"/>
  <c r="A42" i="221" s="1"/>
  <c r="A43" i="221" s="1"/>
  <c r="A44" i="221" s="1"/>
  <c r="A45" i="221" s="1"/>
  <c r="A46" i="221" s="1"/>
  <c r="A47" i="221" s="1"/>
  <c r="A48" i="221" s="1"/>
  <c r="A49" i="221" s="1"/>
  <c r="A50" i="221" s="1"/>
  <c r="A51" i="221" s="1"/>
  <c r="A52" i="221" s="1"/>
  <c r="A54" i="221" s="1"/>
  <c r="C57" i="221" s="1"/>
  <c r="A5" i="221"/>
  <c r="A2" i="221"/>
  <c r="E53" i="220"/>
  <c r="K44" i="220"/>
  <c r="K42" i="220"/>
  <c r="A41" i="220"/>
  <c r="A42" i="220" s="1"/>
  <c r="A43" i="220" s="1"/>
  <c r="A44" i="220" s="1"/>
  <c r="A45" i="220" s="1"/>
  <c r="F27" i="220"/>
  <c r="F23" i="220"/>
  <c r="F19" i="220"/>
  <c r="F15" i="220"/>
  <c r="F11" i="220"/>
  <c r="A5" i="220"/>
  <c r="A2" i="220"/>
  <c r="F50" i="219"/>
  <c r="G146" i="204" s="1"/>
  <c r="L146" i="204" s="1"/>
  <c r="E50" i="219"/>
  <c r="D50" i="219"/>
  <c r="F41" i="219"/>
  <c r="G145" i="204" s="1"/>
  <c r="E41" i="219"/>
  <c r="D41" i="219"/>
  <c r="F31" i="219"/>
  <c r="G144" i="204" s="1"/>
  <c r="D31" i="219"/>
  <c r="A16" i="219"/>
  <c r="A17" i="219" s="1"/>
  <c r="A18" i="219" s="1"/>
  <c r="A19" i="219" s="1"/>
  <c r="A20" i="219" s="1"/>
  <c r="A21" i="219" s="1"/>
  <c r="A22" i="219" s="1"/>
  <c r="A23" i="219" s="1"/>
  <c r="A24" i="219" s="1"/>
  <c r="A25" i="219" s="1"/>
  <c r="A26" i="219" s="1"/>
  <c r="A27" i="219" s="1"/>
  <c r="A28" i="219" s="1"/>
  <c r="A29" i="219" s="1"/>
  <c r="A31" i="219" s="1"/>
  <c r="E31" i="219"/>
  <c r="A5" i="219"/>
  <c r="G21" i="218"/>
  <c r="B13" i="218"/>
  <c r="A5" i="218"/>
  <c r="A2" i="218"/>
  <c r="M46" i="217"/>
  <c r="M29" i="217"/>
  <c r="K29" i="217"/>
  <c r="L28" i="217"/>
  <c r="L27" i="217"/>
  <c r="M22" i="217"/>
  <c r="K22" i="217"/>
  <c r="L20" i="217"/>
  <c r="L19" i="217"/>
  <c r="L18" i="217"/>
  <c r="L17" i="217"/>
  <c r="L14" i="217"/>
  <c r="B14" i="217"/>
  <c r="B22" i="217" s="1"/>
  <c r="B29" i="217" s="1"/>
  <c r="B46" i="217" s="1"/>
  <c r="B48" i="217" s="1"/>
  <c r="B50" i="217" s="1"/>
  <c r="B52" i="217" s="1"/>
  <c r="L12" i="217"/>
  <c r="A6" i="217"/>
  <c r="A3" i="217"/>
  <c r="A2" i="219" s="1"/>
  <c r="J98" i="216"/>
  <c r="L92" i="216"/>
  <c r="A89" i="216"/>
  <c r="F82" i="216"/>
  <c r="R35" i="216" s="1"/>
  <c r="C78" i="216"/>
  <c r="C76" i="216"/>
  <c r="C75" i="216"/>
  <c r="C73" i="216"/>
  <c r="C72" i="216"/>
  <c r="C70" i="216"/>
  <c r="F61" i="216"/>
  <c r="R31" i="216" s="1"/>
  <c r="C59" i="216"/>
  <c r="C58" i="216"/>
  <c r="C56" i="216"/>
  <c r="C53" i="216"/>
  <c r="C52" i="216"/>
  <c r="C49" i="216"/>
  <c r="C48" i="216"/>
  <c r="C39" i="216"/>
  <c r="C38" i="216"/>
  <c r="C27" i="216"/>
  <c r="C21" i="216"/>
  <c r="S20" i="216"/>
  <c r="P20" i="216"/>
  <c r="O20" i="216"/>
  <c r="N20" i="216"/>
  <c r="L20" i="216"/>
  <c r="S19" i="216"/>
  <c r="S18" i="216"/>
  <c r="S17" i="216"/>
  <c r="S16" i="216"/>
  <c r="S15" i="216"/>
  <c r="R15" i="216"/>
  <c r="R13" i="216"/>
  <c r="C13" i="216"/>
  <c r="A13" i="216"/>
  <c r="A14" i="216" s="1"/>
  <c r="A15" i="216" s="1"/>
  <c r="A16" i="216" s="1"/>
  <c r="A17" i="216" s="1"/>
  <c r="A18" i="216" s="1"/>
  <c r="A19" i="216" s="1"/>
  <c r="A23" i="216" s="1"/>
  <c r="A24" i="216" s="1"/>
  <c r="A25" i="216" s="1"/>
  <c r="A29" i="216" s="1"/>
  <c r="A30" i="216" s="1"/>
  <c r="A31" i="216" s="1"/>
  <c r="A32" i="216" s="1"/>
  <c r="A33" i="216" s="1"/>
  <c r="A34" i="216" s="1"/>
  <c r="A35" i="216" s="1"/>
  <c r="A36" i="216" s="1"/>
  <c r="A42" i="216" s="1"/>
  <c r="A43" i="216" s="1"/>
  <c r="A44" i="216" s="1"/>
  <c r="A45" i="216" s="1"/>
  <c r="A46" i="216" s="1"/>
  <c r="A49" i="216" s="1"/>
  <c r="A50" i="216" s="1"/>
  <c r="A51" i="216" s="1"/>
  <c r="A52" i="216" s="1"/>
  <c r="A53" i="216" s="1"/>
  <c r="A54" i="216" s="1"/>
  <c r="A55" i="216" s="1"/>
  <c r="A56" i="216" s="1"/>
  <c r="A59" i="216" s="1"/>
  <c r="A60" i="216" s="1"/>
  <c r="A61" i="216" s="1"/>
  <c r="A62" i="216" s="1"/>
  <c r="A63" i="216" s="1"/>
  <c r="A64" i="216" s="1"/>
  <c r="A65" i="216" s="1"/>
  <c r="A66" i="216" s="1"/>
  <c r="A67" i="216" s="1"/>
  <c r="A68" i="216" s="1"/>
  <c r="A71" i="216" s="1"/>
  <c r="A72" i="216" s="1"/>
  <c r="A73" i="216" s="1"/>
  <c r="A75" i="216" s="1"/>
  <c r="A76" i="216" s="1"/>
  <c r="A77" i="216" s="1"/>
  <c r="A78" i="216" s="1"/>
  <c r="A81" i="216" s="1"/>
  <c r="A82" i="216" s="1"/>
  <c r="A83" i="216" s="1"/>
  <c r="A84" i="216" s="1"/>
  <c r="A85" i="216" s="1"/>
  <c r="A12" i="216"/>
  <c r="F11" i="216"/>
  <c r="C9" i="216"/>
  <c r="C7" i="216"/>
  <c r="A5" i="216"/>
  <c r="A2" i="216"/>
  <c r="N159" i="215"/>
  <c r="O159" i="215" s="1"/>
  <c r="L159" i="215"/>
  <c r="C159" i="215"/>
  <c r="N158" i="215"/>
  <c r="L158" i="215"/>
  <c r="O158" i="215" s="1"/>
  <c r="C158" i="215"/>
  <c r="N157" i="215"/>
  <c r="O157" i="215" s="1"/>
  <c r="L157" i="215"/>
  <c r="C157" i="215"/>
  <c r="N156" i="215"/>
  <c r="O156" i="215" s="1"/>
  <c r="L156" i="215"/>
  <c r="C156" i="215"/>
  <c r="N155" i="215"/>
  <c r="L155" i="215"/>
  <c r="C155" i="215"/>
  <c r="N154" i="215"/>
  <c r="O154" i="215" s="1"/>
  <c r="L154" i="215"/>
  <c r="C154" i="215"/>
  <c r="N153" i="215"/>
  <c r="L153" i="215"/>
  <c r="C153" i="215"/>
  <c r="N152" i="215"/>
  <c r="L152" i="215"/>
  <c r="O152" i="215" s="1"/>
  <c r="C152" i="215"/>
  <c r="N151" i="215"/>
  <c r="O151" i="215" s="1"/>
  <c r="L151" i="215"/>
  <c r="C151" i="215"/>
  <c r="N150" i="215"/>
  <c r="L150" i="215"/>
  <c r="O150" i="215" s="1"/>
  <c r="C150" i="215"/>
  <c r="N149" i="215"/>
  <c r="O149" i="215" s="1"/>
  <c r="L149" i="215"/>
  <c r="C149" i="215"/>
  <c r="N148" i="215"/>
  <c r="O148" i="215" s="1"/>
  <c r="L148" i="215"/>
  <c r="C148" i="215"/>
  <c r="N147" i="215"/>
  <c r="L147" i="215"/>
  <c r="C147" i="215"/>
  <c r="N146" i="215"/>
  <c r="O146" i="215" s="1"/>
  <c r="L146" i="215"/>
  <c r="C146" i="215"/>
  <c r="N145" i="215"/>
  <c r="L145" i="215"/>
  <c r="C145" i="215"/>
  <c r="N144" i="215"/>
  <c r="L144" i="215"/>
  <c r="C144" i="215"/>
  <c r="N143" i="215"/>
  <c r="L143" i="215"/>
  <c r="C143" i="215"/>
  <c r="N142" i="215"/>
  <c r="O142" i="215" s="1"/>
  <c r="L142" i="215"/>
  <c r="C142" i="215"/>
  <c r="N141" i="215"/>
  <c r="L141" i="215"/>
  <c r="C141" i="215"/>
  <c r="N140" i="215"/>
  <c r="L140" i="215"/>
  <c r="C140" i="215"/>
  <c r="N139" i="215"/>
  <c r="L139" i="215"/>
  <c r="C139" i="215"/>
  <c r="N138" i="215"/>
  <c r="O138" i="215" s="1"/>
  <c r="L138" i="215"/>
  <c r="C138" i="215"/>
  <c r="N137" i="215"/>
  <c r="L137" i="215"/>
  <c r="C137" i="215"/>
  <c r="N136" i="215"/>
  <c r="O136" i="215" s="1"/>
  <c r="L136" i="215"/>
  <c r="C136" i="215"/>
  <c r="N135" i="215"/>
  <c r="L135" i="215"/>
  <c r="O135" i="215" s="1"/>
  <c r="C135" i="215"/>
  <c r="N134" i="215"/>
  <c r="L134" i="215"/>
  <c r="O134" i="215" s="1"/>
  <c r="C134" i="215"/>
  <c r="N133" i="215"/>
  <c r="L133" i="215"/>
  <c r="C133" i="215"/>
  <c r="N132" i="215"/>
  <c r="L132" i="215"/>
  <c r="C132" i="215"/>
  <c r="N131" i="215"/>
  <c r="O131" i="215" s="1"/>
  <c r="L131" i="215"/>
  <c r="C131" i="215"/>
  <c r="N130" i="215"/>
  <c r="L130" i="215"/>
  <c r="C130" i="215"/>
  <c r="N129" i="215"/>
  <c r="O129" i="215" s="1"/>
  <c r="L129" i="215"/>
  <c r="C129" i="215"/>
  <c r="N128" i="215"/>
  <c r="L128" i="215"/>
  <c r="C128" i="215"/>
  <c r="N127" i="215"/>
  <c r="L127" i="215"/>
  <c r="C127" i="215"/>
  <c r="N126" i="215"/>
  <c r="O126" i="215" s="1"/>
  <c r="L126" i="215"/>
  <c r="C126" i="215"/>
  <c r="N125" i="215"/>
  <c r="L125" i="215"/>
  <c r="C125" i="215"/>
  <c r="N124" i="215"/>
  <c r="L124" i="215"/>
  <c r="C124" i="215"/>
  <c r="N123" i="215"/>
  <c r="L123" i="215"/>
  <c r="C123" i="215"/>
  <c r="N122" i="215"/>
  <c r="O122" i="215" s="1"/>
  <c r="L122" i="215"/>
  <c r="C122" i="215"/>
  <c r="N121" i="215"/>
  <c r="L121" i="215"/>
  <c r="C121" i="215"/>
  <c r="N120" i="215"/>
  <c r="O120" i="215" s="1"/>
  <c r="L120" i="215"/>
  <c r="C120" i="215"/>
  <c r="N119" i="215"/>
  <c r="L119" i="215"/>
  <c r="O119" i="215" s="1"/>
  <c r="C119" i="215"/>
  <c r="O118" i="215"/>
  <c r="N118" i="215"/>
  <c r="L118" i="215"/>
  <c r="C118" i="215"/>
  <c r="N117" i="215"/>
  <c r="L117" i="215"/>
  <c r="C117" i="215"/>
  <c r="N116" i="215"/>
  <c r="L116" i="215"/>
  <c r="C116" i="215"/>
  <c r="N115" i="215"/>
  <c r="L115" i="215"/>
  <c r="C115" i="215"/>
  <c r="N114" i="215"/>
  <c r="L114" i="215"/>
  <c r="C114" i="215"/>
  <c r="N113" i="215"/>
  <c r="O113" i="215" s="1"/>
  <c r="L113" i="215"/>
  <c r="C113" i="215"/>
  <c r="N112" i="215"/>
  <c r="L112" i="215"/>
  <c r="C112" i="215"/>
  <c r="N111" i="215"/>
  <c r="L111" i="215"/>
  <c r="C111" i="215"/>
  <c r="N110" i="215"/>
  <c r="O110" i="215" s="1"/>
  <c r="L110" i="215"/>
  <c r="C110" i="215"/>
  <c r="N109" i="215"/>
  <c r="L109" i="215"/>
  <c r="C109" i="215"/>
  <c r="N108" i="215"/>
  <c r="L108" i="215"/>
  <c r="C108" i="215"/>
  <c r="N107" i="215"/>
  <c r="L107" i="215"/>
  <c r="C107" i="215"/>
  <c r="N106" i="215"/>
  <c r="O106" i="215" s="1"/>
  <c r="L106" i="215"/>
  <c r="C106" i="215"/>
  <c r="N105" i="215"/>
  <c r="L105" i="215"/>
  <c r="C105" i="215"/>
  <c r="N104" i="215"/>
  <c r="L104" i="215"/>
  <c r="D104" i="215"/>
  <c r="C104" i="215"/>
  <c r="I101" i="215"/>
  <c r="K98" i="215"/>
  <c r="I98" i="215"/>
  <c r="N94" i="215"/>
  <c r="A88" i="215"/>
  <c r="F82" i="215"/>
  <c r="P34" i="215" s="1"/>
  <c r="C78" i="215"/>
  <c r="C76" i="215"/>
  <c r="C75" i="215"/>
  <c r="C73" i="215"/>
  <c r="C72" i="215"/>
  <c r="C70" i="215"/>
  <c r="F61" i="215"/>
  <c r="P30" i="215" s="1"/>
  <c r="C59" i="215"/>
  <c r="C58" i="215"/>
  <c r="C56" i="215"/>
  <c r="C53" i="215"/>
  <c r="C52" i="215"/>
  <c r="C49" i="215"/>
  <c r="C48" i="215"/>
  <c r="C39" i="215"/>
  <c r="C38" i="215"/>
  <c r="C27" i="215"/>
  <c r="C21" i="215"/>
  <c r="N19" i="215"/>
  <c r="M19" i="215"/>
  <c r="L19" i="215"/>
  <c r="P14" i="215"/>
  <c r="C13" i="215"/>
  <c r="A12" i="215"/>
  <c r="A13" i="215" s="1"/>
  <c r="A14" i="215" s="1"/>
  <c r="A15" i="215" s="1"/>
  <c r="A16" i="215" s="1"/>
  <c r="A17" i="215" s="1"/>
  <c r="A18" i="215" s="1"/>
  <c r="A19" i="215" s="1"/>
  <c r="A23" i="215" s="1"/>
  <c r="A24" i="215" s="1"/>
  <c r="A25" i="215" s="1"/>
  <c r="A29" i="215" s="1"/>
  <c r="A30" i="215" s="1"/>
  <c r="A31" i="215" s="1"/>
  <c r="A32" i="215" s="1"/>
  <c r="A33" i="215" s="1"/>
  <c r="A34" i="215" s="1"/>
  <c r="A35" i="215" s="1"/>
  <c r="A36" i="215" s="1"/>
  <c r="A42" i="215" s="1"/>
  <c r="A43" i="215" s="1"/>
  <c r="A44" i="215" s="1"/>
  <c r="A45" i="215" s="1"/>
  <c r="A46" i="215" s="1"/>
  <c r="A49" i="215" s="1"/>
  <c r="A50" i="215" s="1"/>
  <c r="A51" i="215" s="1"/>
  <c r="A52" i="215" s="1"/>
  <c r="A53" i="215" s="1"/>
  <c r="A54" i="215" s="1"/>
  <c r="A55" i="215" s="1"/>
  <c r="A56" i="215" s="1"/>
  <c r="A59" i="215" s="1"/>
  <c r="A60" i="215" s="1"/>
  <c r="A61" i="215" s="1"/>
  <c r="A62" i="215" s="1"/>
  <c r="A63" i="215" s="1"/>
  <c r="A64" i="215" s="1"/>
  <c r="A65" i="215" s="1"/>
  <c r="A66" i="215" s="1"/>
  <c r="A67" i="215" s="1"/>
  <c r="A68" i="215" s="1"/>
  <c r="A71" i="215" s="1"/>
  <c r="A72" i="215" s="1"/>
  <c r="A73" i="215" s="1"/>
  <c r="A75" i="215" s="1"/>
  <c r="A76" i="215" s="1"/>
  <c r="A77" i="215" s="1"/>
  <c r="A78" i="215" s="1"/>
  <c r="A81" i="215" s="1"/>
  <c r="A82" i="215" s="1"/>
  <c r="A83" i="215" s="1"/>
  <c r="A84" i="215" s="1"/>
  <c r="A85" i="215" s="1"/>
  <c r="F11" i="215"/>
  <c r="P13" i="215" s="1"/>
  <c r="C9" i="215"/>
  <c r="C7" i="215"/>
  <c r="A5" i="215"/>
  <c r="A2" i="215"/>
  <c r="C22" i="214"/>
  <c r="C20" i="214"/>
  <c r="A14" i="214"/>
  <c r="A16" i="214" s="1"/>
  <c r="A17" i="214" s="1"/>
  <c r="A18" i="214" s="1"/>
  <c r="A20" i="214" s="1"/>
  <c r="A22" i="214" s="1"/>
  <c r="E111" i="204" s="1"/>
  <c r="C8" i="214"/>
  <c r="B20" i="214" s="1"/>
  <c r="A5" i="214"/>
  <c r="A2" i="214"/>
  <c r="M53" i="213"/>
  <c r="AC51" i="213"/>
  <c r="AB51" i="213"/>
  <c r="AA51" i="213"/>
  <c r="Z51" i="213"/>
  <c r="Y51" i="213"/>
  <c r="X51" i="213"/>
  <c r="W51" i="213"/>
  <c r="V51" i="213"/>
  <c r="U51" i="213"/>
  <c r="T51" i="213"/>
  <c r="S51" i="213"/>
  <c r="R51" i="213"/>
  <c r="Q51" i="213"/>
  <c r="G51" i="213"/>
  <c r="G107" i="204" s="1"/>
  <c r="L107" i="204" s="1"/>
  <c r="D49" i="213"/>
  <c r="D48" i="213"/>
  <c r="D47" i="213"/>
  <c r="D46" i="213"/>
  <c r="D45" i="213"/>
  <c r="D44" i="213"/>
  <c r="D43" i="213"/>
  <c r="D42" i="213"/>
  <c r="D41" i="213"/>
  <c r="D40" i="213"/>
  <c r="D39" i="213"/>
  <c r="D38" i="213"/>
  <c r="D37" i="213"/>
  <c r="D36" i="213"/>
  <c r="D35" i="213"/>
  <c r="D34" i="213"/>
  <c r="D33" i="213"/>
  <c r="D32" i="213"/>
  <c r="D31" i="213"/>
  <c r="I51" i="213" s="1"/>
  <c r="D30" i="213"/>
  <c r="J51" i="213" s="1"/>
  <c r="G105" i="204" s="1"/>
  <c r="D29" i="213"/>
  <c r="A29" i="213"/>
  <c r="A30" i="213" s="1"/>
  <c r="A31" i="213" s="1"/>
  <c r="A32" i="213" s="1"/>
  <c r="A33" i="213" s="1"/>
  <c r="A34" i="213" s="1"/>
  <c r="A35" i="213" s="1"/>
  <c r="A36" i="213" s="1"/>
  <c r="A37" i="213" s="1"/>
  <c r="A38" i="213" s="1"/>
  <c r="A39" i="213" s="1"/>
  <c r="A40" i="213" s="1"/>
  <c r="A41" i="213" s="1"/>
  <c r="A42" i="213" s="1"/>
  <c r="A43" i="213" s="1"/>
  <c r="A44" i="213" s="1"/>
  <c r="A45" i="213" s="1"/>
  <c r="A46" i="213" s="1"/>
  <c r="A47" i="213" s="1"/>
  <c r="A48" i="213" s="1"/>
  <c r="A49" i="213" s="1"/>
  <c r="A51" i="213" s="1"/>
  <c r="D28" i="213"/>
  <c r="A28" i="213"/>
  <c r="D27" i="213"/>
  <c r="E51" i="213" s="1"/>
  <c r="G108" i="204" s="1"/>
  <c r="L108" i="204" s="1"/>
  <c r="D26" i="213"/>
  <c r="H25" i="213"/>
  <c r="F25" i="213"/>
  <c r="AC23" i="213"/>
  <c r="D23" i="213"/>
  <c r="L17" i="213"/>
  <c r="L18" i="213" s="1"/>
  <c r="L25" i="213" s="1"/>
  <c r="L26" i="213" s="1"/>
  <c r="L27" i="213" s="1"/>
  <c r="L28" i="213" s="1"/>
  <c r="L29" i="213" s="1"/>
  <c r="L30" i="213" s="1"/>
  <c r="L31" i="213" s="1"/>
  <c r="L32" i="213" s="1"/>
  <c r="L33" i="213" s="1"/>
  <c r="L34" i="213" s="1"/>
  <c r="L35" i="213" s="1"/>
  <c r="L36" i="213" s="1"/>
  <c r="L37" i="213" s="1"/>
  <c r="L38" i="213" s="1"/>
  <c r="L39" i="213" s="1"/>
  <c r="L40" i="213" s="1"/>
  <c r="L41" i="213" s="1"/>
  <c r="L42" i="213" s="1"/>
  <c r="L43" i="213" s="1"/>
  <c r="L44" i="213" s="1"/>
  <c r="L45" i="213" s="1"/>
  <c r="L46" i="213" s="1"/>
  <c r="L47" i="213" s="1"/>
  <c r="L48" i="213" s="1"/>
  <c r="L49" i="213" s="1"/>
  <c r="L51" i="213" s="1"/>
  <c r="A17" i="213"/>
  <c r="A18" i="213" s="1"/>
  <c r="A25" i="213" s="1"/>
  <c r="A26" i="213" s="1"/>
  <c r="A27" i="213" s="1"/>
  <c r="AA12" i="213"/>
  <c r="S12" i="213"/>
  <c r="A5" i="213"/>
  <c r="M5" i="213" s="1"/>
  <c r="M4" i="213"/>
  <c r="A2" i="213"/>
  <c r="M2" i="213" s="1"/>
  <c r="G42" i="212"/>
  <c r="G43" i="212" s="1"/>
  <c r="F42" i="212"/>
  <c r="F43" i="212" s="1"/>
  <c r="G38" i="212"/>
  <c r="G39" i="212" s="1"/>
  <c r="F38" i="212"/>
  <c r="F39" i="212" s="1"/>
  <c r="E38" i="212"/>
  <c r="E39" i="212" s="1"/>
  <c r="F35" i="212"/>
  <c r="E35" i="212"/>
  <c r="D34" i="212"/>
  <c r="D33" i="212"/>
  <c r="D48" i="212" s="1"/>
  <c r="D32" i="212"/>
  <c r="I22" i="212"/>
  <c r="I23" i="212" s="1"/>
  <c r="H22" i="212"/>
  <c r="H23" i="212" s="1"/>
  <c r="G22" i="212"/>
  <c r="F22" i="212"/>
  <c r="F23" i="212" s="1"/>
  <c r="E22" i="212"/>
  <c r="E23" i="212" s="1"/>
  <c r="D18" i="212"/>
  <c r="I17" i="212"/>
  <c r="I19" i="212" s="1"/>
  <c r="I26" i="212" s="1"/>
  <c r="I27" i="212" s="1"/>
  <c r="H17" i="212"/>
  <c r="H19" i="212" s="1"/>
  <c r="H26" i="212" s="1"/>
  <c r="H27" i="212" s="1"/>
  <c r="G17" i="212"/>
  <c r="G19" i="212" s="1"/>
  <c r="G26" i="212" s="1"/>
  <c r="F17" i="212"/>
  <c r="F19" i="212" s="1"/>
  <c r="F26" i="212" s="1"/>
  <c r="E17" i="212"/>
  <c r="A16" i="212"/>
  <c r="C17" i="212" s="1"/>
  <c r="D15" i="212"/>
  <c r="B6" i="212"/>
  <c r="B3" i="212"/>
  <c r="F56" i="211"/>
  <c r="G56" i="211" s="1"/>
  <c r="G55" i="211"/>
  <c r="G54" i="211"/>
  <c r="G53" i="211"/>
  <c r="G52" i="211"/>
  <c r="G51" i="211"/>
  <c r="G50" i="211"/>
  <c r="G49" i="211"/>
  <c r="G48" i="211"/>
  <c r="G47" i="211"/>
  <c r="G46" i="211"/>
  <c r="G45" i="211"/>
  <c r="G44" i="211"/>
  <c r="C44" i="211"/>
  <c r="D44" i="211" s="1"/>
  <c r="H39" i="211"/>
  <c r="H40" i="211" s="1"/>
  <c r="C54" i="211" s="1"/>
  <c r="H54" i="211" s="1"/>
  <c r="F30" i="211"/>
  <c r="G30" i="211" s="1"/>
  <c r="G29" i="211"/>
  <c r="G28" i="211"/>
  <c r="G27" i="211"/>
  <c r="G26" i="211"/>
  <c r="G25" i="211"/>
  <c r="G24" i="211"/>
  <c r="G23" i="211"/>
  <c r="G22" i="211"/>
  <c r="G21" i="211"/>
  <c r="G20" i="211"/>
  <c r="G19" i="211"/>
  <c r="G18" i="211"/>
  <c r="E13" i="211"/>
  <c r="A12" i="211"/>
  <c r="A13" i="211" s="1"/>
  <c r="E14" i="211" s="1"/>
  <c r="A4" i="211"/>
  <c r="A3" i="211"/>
  <c r="H47" i="210"/>
  <c r="D45" i="208" s="1"/>
  <c r="H30" i="210"/>
  <c r="D33" i="208" s="1"/>
  <c r="N29" i="210"/>
  <c r="M29" i="210"/>
  <c r="L29" i="210"/>
  <c r="J29" i="210"/>
  <c r="H18" i="210"/>
  <c r="C4" i="210"/>
  <c r="C3" i="210"/>
  <c r="H47" i="209"/>
  <c r="D44" i="208" s="1"/>
  <c r="N45" i="209"/>
  <c r="M45" i="209"/>
  <c r="L45" i="209"/>
  <c r="K45" i="209"/>
  <c r="J45" i="209"/>
  <c r="N44" i="209"/>
  <c r="M44" i="209"/>
  <c r="L44" i="209"/>
  <c r="K44" i="209"/>
  <c r="J44" i="209"/>
  <c r="N43" i="209"/>
  <c r="M43" i="209"/>
  <c r="L43" i="209"/>
  <c r="K43" i="209"/>
  <c r="J43" i="209"/>
  <c r="N42" i="209"/>
  <c r="M42" i="209"/>
  <c r="L42" i="209"/>
  <c r="K42" i="209"/>
  <c r="J42" i="209"/>
  <c r="N41" i="209"/>
  <c r="M41" i="209"/>
  <c r="L41" i="209"/>
  <c r="K41" i="209"/>
  <c r="J41" i="209"/>
  <c r="N40" i="209"/>
  <c r="M40" i="209"/>
  <c r="L40" i="209"/>
  <c r="K40" i="209"/>
  <c r="J40" i="209"/>
  <c r="N39" i="209"/>
  <c r="M39" i="209"/>
  <c r="L39" i="209"/>
  <c r="K39" i="209"/>
  <c r="J39" i="209"/>
  <c r="N38" i="209"/>
  <c r="M38" i="209"/>
  <c r="L38" i="209"/>
  <c r="K38" i="209"/>
  <c r="J38" i="209"/>
  <c r="N37" i="209"/>
  <c r="M37" i="209"/>
  <c r="L37" i="209"/>
  <c r="K37" i="209"/>
  <c r="J37" i="209"/>
  <c r="N36" i="209"/>
  <c r="M36" i="209"/>
  <c r="L36" i="209"/>
  <c r="K36" i="209"/>
  <c r="J36" i="209"/>
  <c r="N35" i="209"/>
  <c r="M35" i="209"/>
  <c r="L35" i="209"/>
  <c r="K35" i="209"/>
  <c r="J35" i="209"/>
  <c r="N34" i="209"/>
  <c r="M34" i="209"/>
  <c r="L34" i="209"/>
  <c r="K34" i="209"/>
  <c r="J34" i="209"/>
  <c r="H30" i="209"/>
  <c r="N29" i="209"/>
  <c r="M29" i="209"/>
  <c r="L29" i="209"/>
  <c r="J29" i="209"/>
  <c r="N26" i="209"/>
  <c r="M26" i="209"/>
  <c r="L26" i="209"/>
  <c r="N23" i="209"/>
  <c r="M23" i="209"/>
  <c r="L23" i="209"/>
  <c r="K23" i="209"/>
  <c r="J23" i="209"/>
  <c r="N22" i="209"/>
  <c r="M22" i="209"/>
  <c r="L22" i="209"/>
  <c r="K22" i="209"/>
  <c r="J22" i="209"/>
  <c r="H11" i="211"/>
  <c r="N17" i="209"/>
  <c r="M17" i="209"/>
  <c r="L17" i="209"/>
  <c r="K17" i="209"/>
  <c r="J17" i="209"/>
  <c r="N13" i="209"/>
  <c r="M13" i="209"/>
  <c r="L13" i="209"/>
  <c r="K13" i="209"/>
  <c r="J13" i="209"/>
  <c r="N12" i="209"/>
  <c r="M12" i="209"/>
  <c r="L12" i="209"/>
  <c r="K12" i="209"/>
  <c r="J12" i="209"/>
  <c r="C6" i="209"/>
  <c r="C4" i="209"/>
  <c r="C3" i="209"/>
  <c r="D62" i="208"/>
  <c r="D61" i="208"/>
  <c r="G59" i="208"/>
  <c r="G61" i="208" s="1"/>
  <c r="G62" i="208" s="1"/>
  <c r="C58" i="208"/>
  <c r="F37" i="208"/>
  <c r="E37" i="208"/>
  <c r="A20" i="208"/>
  <c r="A22" i="208" s="1"/>
  <c r="A23" i="208" s="1"/>
  <c r="A24" i="208" s="1"/>
  <c r="A25" i="208" s="1"/>
  <c r="A26" i="208" s="1"/>
  <c r="A27" i="208" s="1"/>
  <c r="A32" i="208" s="1"/>
  <c r="A33" i="208" s="1"/>
  <c r="A35" i="208" s="1"/>
  <c r="A36" i="208" s="1"/>
  <c r="C19" i="208"/>
  <c r="C32" i="208" s="1"/>
  <c r="A5" i="208"/>
  <c r="A2" i="208"/>
  <c r="A5" i="207"/>
  <c r="A2" i="207"/>
  <c r="G74" i="204"/>
  <c r="A12" i="206"/>
  <c r="A13" i="206" s="1"/>
  <c r="A14" i="206" s="1"/>
  <c r="A15" i="206" s="1"/>
  <c r="A16" i="206" s="1"/>
  <c r="A17" i="206" s="1"/>
  <c r="A18" i="206" s="1"/>
  <c r="A19" i="206" s="1"/>
  <c r="A20" i="206" s="1"/>
  <c r="A21" i="206" s="1"/>
  <c r="A22" i="206" s="1"/>
  <c r="A23" i="206" s="1"/>
  <c r="A24" i="206" s="1"/>
  <c r="A5" i="206"/>
  <c r="A2" i="206"/>
  <c r="H53" i="205"/>
  <c r="G53" i="205"/>
  <c r="I52" i="205"/>
  <c r="I51" i="205"/>
  <c r="I53" i="205" s="1"/>
  <c r="G94" i="204" s="1"/>
  <c r="L94" i="204" s="1"/>
  <c r="I50" i="205"/>
  <c r="H48" i="205"/>
  <c r="L208" i="204"/>
  <c r="A12" i="205"/>
  <c r="A13" i="205" s="1"/>
  <c r="A14" i="205" s="1"/>
  <c r="A15" i="205" s="1"/>
  <c r="A16" i="205" s="1"/>
  <c r="A17" i="205" s="1"/>
  <c r="A18" i="205" s="1"/>
  <c r="A19" i="205" s="1"/>
  <c r="A20" i="205" s="1"/>
  <c r="A21" i="205" s="1"/>
  <c r="A22" i="205" s="1"/>
  <c r="A23" i="205" s="1"/>
  <c r="A24" i="205" s="1"/>
  <c r="A5" i="205"/>
  <c r="A2" i="205"/>
  <c r="D292" i="204"/>
  <c r="E236" i="204"/>
  <c r="J236" i="204" s="1"/>
  <c r="L231" i="204"/>
  <c r="L230" i="204"/>
  <c r="L229" i="204"/>
  <c r="L228" i="204"/>
  <c r="L226" i="204"/>
  <c r="G219" i="204"/>
  <c r="F219" i="204"/>
  <c r="L218" i="204"/>
  <c r="H218" i="204"/>
  <c r="L217" i="204"/>
  <c r="H217" i="204"/>
  <c r="L216" i="204"/>
  <c r="H216" i="204"/>
  <c r="H215" i="204"/>
  <c r="L214" i="204"/>
  <c r="H214" i="204"/>
  <c r="L207" i="204"/>
  <c r="G186" i="204"/>
  <c r="L186" i="204" s="1"/>
  <c r="D186" i="204"/>
  <c r="G156" i="204"/>
  <c r="G147" i="204"/>
  <c r="G143" i="204"/>
  <c r="G141" i="204"/>
  <c r="G140" i="204"/>
  <c r="G139" i="204"/>
  <c r="G138" i="204"/>
  <c r="G133" i="204"/>
  <c r="G132" i="204"/>
  <c r="G131" i="204"/>
  <c r="E131" i="204"/>
  <c r="B127" i="204"/>
  <c r="L125" i="204"/>
  <c r="I125" i="204"/>
  <c r="G125" i="204"/>
  <c r="E125" i="204"/>
  <c r="L124" i="204"/>
  <c r="E124" i="204"/>
  <c r="F117" i="204"/>
  <c r="F197" i="204" s="1"/>
  <c r="F260" i="204" s="1"/>
  <c r="G106" i="204"/>
  <c r="G104" i="204"/>
  <c r="E104" i="204"/>
  <c r="G103" i="204"/>
  <c r="E103" i="204"/>
  <c r="G102" i="204"/>
  <c r="E102" i="204"/>
  <c r="G91" i="204"/>
  <c r="D80" i="204"/>
  <c r="D74" i="204"/>
  <c r="D82" i="204" s="1"/>
  <c r="G73" i="204"/>
  <c r="G72" i="204"/>
  <c r="D72" i="204"/>
  <c r="D81" i="204" s="1"/>
  <c r="G71" i="204"/>
  <c r="L71" i="204" s="1"/>
  <c r="G70" i="204"/>
  <c r="L70" i="204" s="1"/>
  <c r="D70" i="204"/>
  <c r="G69" i="204"/>
  <c r="G68" i="204"/>
  <c r="J68" i="204" s="1"/>
  <c r="J69" i="204" s="1"/>
  <c r="D68" i="204"/>
  <c r="D79" i="204" s="1"/>
  <c r="G67" i="204"/>
  <c r="G66" i="204"/>
  <c r="L66" i="204" s="1"/>
  <c r="D66" i="204"/>
  <c r="D78" i="204" s="1"/>
  <c r="G62" i="204"/>
  <c r="G61" i="204"/>
  <c r="G60" i="204"/>
  <c r="G59" i="204"/>
  <c r="L59" i="204" s="1"/>
  <c r="G58" i="204"/>
  <c r="L58" i="204" s="1"/>
  <c r="G57" i="204"/>
  <c r="G56" i="204"/>
  <c r="G55" i="204"/>
  <c r="L55" i="204" s="1"/>
  <c r="G54" i="204"/>
  <c r="B53" i="204"/>
  <c r="B52" i="204"/>
  <c r="B126" i="204" s="1"/>
  <c r="F46" i="204"/>
  <c r="F120" i="204" s="1"/>
  <c r="F200" i="204" s="1"/>
  <c r="F263" i="204" s="1"/>
  <c r="F43" i="204"/>
  <c r="F42" i="204"/>
  <c r="F116" i="204" s="1"/>
  <c r="F196" i="204" s="1"/>
  <c r="F259" i="204" s="1"/>
  <c r="L35" i="204"/>
  <c r="M32" i="147" s="1"/>
  <c r="G23" i="204"/>
  <c r="L23" i="204" s="1"/>
  <c r="M23" i="147" s="1"/>
  <c r="L16" i="204"/>
  <c r="M18" i="147" s="1"/>
  <c r="B14" i="204"/>
  <c r="B16" i="204" s="1"/>
  <c r="E18" i="204" s="1"/>
  <c r="B86" i="222" l="1"/>
  <c r="D236" i="204"/>
  <c r="E230" i="204"/>
  <c r="E228" i="204"/>
  <c r="E231" i="204"/>
  <c r="E229" i="204"/>
  <c r="A34" i="219"/>
  <c r="A35" i="219" s="1"/>
  <c r="A36" i="219" s="1"/>
  <c r="A37" i="219" s="1"/>
  <c r="A38" i="219" s="1"/>
  <c r="A41" i="219" s="1"/>
  <c r="E144" i="204"/>
  <c r="O107" i="215"/>
  <c r="O111" i="215"/>
  <c r="O112" i="215"/>
  <c r="O115" i="215"/>
  <c r="O121" i="215"/>
  <c r="O130" i="215"/>
  <c r="O139" i="215"/>
  <c r="O143" i="215"/>
  <c r="O147" i="215"/>
  <c r="O153" i="215"/>
  <c r="G54" i="221"/>
  <c r="G162" i="204" s="1"/>
  <c r="P63" i="223"/>
  <c r="K45" i="228"/>
  <c r="G96" i="204" s="1"/>
  <c r="F29" i="220"/>
  <c r="F318" i="204" s="1"/>
  <c r="G168" i="204" s="1"/>
  <c r="O105" i="215"/>
  <c r="O114" i="215"/>
  <c r="O123" i="215"/>
  <c r="O127" i="215"/>
  <c r="O128" i="215"/>
  <c r="O137" i="215"/>
  <c r="O141" i="215"/>
  <c r="O144" i="215"/>
  <c r="O145" i="215"/>
  <c r="O155" i="215"/>
  <c r="C52" i="217"/>
  <c r="G24" i="222"/>
  <c r="K26" i="209"/>
  <c r="K30" i="210"/>
  <c r="F33" i="208" s="1"/>
  <c r="K15" i="209"/>
  <c r="Y23" i="213"/>
  <c r="J9" i="223"/>
  <c r="AB12" i="213"/>
  <c r="Q23" i="213"/>
  <c r="U23" i="213"/>
  <c r="D32" i="208"/>
  <c r="M54" i="221"/>
  <c r="G163" i="204" s="1"/>
  <c r="L163" i="204" s="1"/>
  <c r="K54" i="221"/>
  <c r="G164" i="204" s="1"/>
  <c r="L49" i="223"/>
  <c r="L57" i="223"/>
  <c r="L50" i="223"/>
  <c r="L54" i="223"/>
  <c r="L58" i="223"/>
  <c r="L48" i="223"/>
  <c r="L52" i="223"/>
  <c r="L56" i="223"/>
  <c r="L53" i="223"/>
  <c r="N19" i="223"/>
  <c r="R19" i="223" s="1"/>
  <c r="L51" i="223"/>
  <c r="L55" i="223"/>
  <c r="H12" i="211"/>
  <c r="C18" i="211" s="1"/>
  <c r="L69" i="204"/>
  <c r="C46" i="211"/>
  <c r="H46" i="211" s="1"/>
  <c r="H44" i="211"/>
  <c r="I44" i="211" s="1"/>
  <c r="C50" i="211"/>
  <c r="H50" i="211" s="1"/>
  <c r="M52" i="217"/>
  <c r="G14" i="204" s="1"/>
  <c r="L14" i="204" s="1"/>
  <c r="M16" i="147" s="1"/>
  <c r="F13" i="215"/>
  <c r="E18" i="215" s="1"/>
  <c r="L80" i="204"/>
  <c r="D25" i="212"/>
  <c r="D19" i="208"/>
  <c r="G75" i="204"/>
  <c r="G81" i="204"/>
  <c r="J64" i="204"/>
  <c r="H26" i="208" s="1"/>
  <c r="G78" i="204"/>
  <c r="I48" i="205"/>
  <c r="A3" i="206"/>
  <c r="K19" i="215"/>
  <c r="I97" i="215" s="1"/>
  <c r="H8" i="227"/>
  <c r="T12" i="213"/>
  <c r="V23" i="213"/>
  <c r="V12" i="213"/>
  <c r="X23" i="213"/>
  <c r="A6" i="211"/>
  <c r="W12" i="213"/>
  <c r="J39" i="228"/>
  <c r="J11" i="224"/>
  <c r="B21" i="224" s="1"/>
  <c r="J11" i="225"/>
  <c r="C6" i="210"/>
  <c r="U12" i="213"/>
  <c r="AC12" i="213"/>
  <c r="W23" i="213"/>
  <c r="F9" i="227"/>
  <c r="F6" i="204"/>
  <c r="F44" i="204" s="1"/>
  <c r="F118" i="204" s="1"/>
  <c r="F198" i="204" s="1"/>
  <c r="F261" i="204" s="1"/>
  <c r="C59" i="208"/>
  <c r="X12" i="213"/>
  <c r="R23" i="213"/>
  <c r="Z23" i="213"/>
  <c r="D11" i="219"/>
  <c r="B7" i="220"/>
  <c r="C20" i="208"/>
  <c r="C33" i="208" s="1"/>
  <c r="Q12" i="213"/>
  <c r="Y12" i="213"/>
  <c r="S23" i="213"/>
  <c r="AA23" i="213"/>
  <c r="A3" i="205"/>
  <c r="A3" i="208" s="1"/>
  <c r="G48" i="205"/>
  <c r="R12" i="213"/>
  <c r="Z12" i="213"/>
  <c r="T23" i="213"/>
  <c r="AB23" i="213"/>
  <c r="C65" i="222"/>
  <c r="A3" i="227"/>
  <c r="G23" i="212"/>
  <c r="D20" i="208"/>
  <c r="D21" i="212"/>
  <c r="N18" i="210"/>
  <c r="I20" i="208" s="1"/>
  <c r="D47" i="208"/>
  <c r="D48" i="208" s="1"/>
  <c r="G90" i="204" s="1"/>
  <c r="L47" i="210"/>
  <c r="G45" i="208" s="1"/>
  <c r="M47" i="210"/>
  <c r="H45" i="208" s="1"/>
  <c r="D37" i="212"/>
  <c r="J47" i="209"/>
  <c r="E44" i="208" s="1"/>
  <c r="O104" i="215"/>
  <c r="M47" i="209"/>
  <c r="H44" i="208" s="1"/>
  <c r="K47" i="209"/>
  <c r="F44" i="208" s="1"/>
  <c r="N47" i="209"/>
  <c r="I44" i="208" s="1"/>
  <c r="K30" i="209"/>
  <c r="F32" i="208" s="1"/>
  <c r="L30" i="209"/>
  <c r="G32" i="208" s="1"/>
  <c r="G27" i="212"/>
  <c r="G19" i="208"/>
  <c r="B50" i="222"/>
  <c r="I8" i="228"/>
  <c r="G11" i="218"/>
  <c r="G9" i="227"/>
  <c r="I39" i="228"/>
  <c r="A37" i="208"/>
  <c r="A38" i="208" s="1"/>
  <c r="A44" i="208" s="1"/>
  <c r="A45" i="208" s="1"/>
  <c r="A47" i="208" s="1"/>
  <c r="A48" i="208" s="1"/>
  <c r="E107" i="204"/>
  <c r="E106" i="204"/>
  <c r="E108" i="204"/>
  <c r="E105" i="204"/>
  <c r="C81" i="216"/>
  <c r="S34" i="216" s="1"/>
  <c r="C81" i="215"/>
  <c r="Q33" i="215" s="1"/>
  <c r="A31" i="205"/>
  <c r="A32" i="205" s="1"/>
  <c r="A33" i="205" s="1"/>
  <c r="A34" i="205" s="1"/>
  <c r="A35" i="205" s="1"/>
  <c r="A36" i="205" s="1"/>
  <c r="A37" i="205" s="1"/>
  <c r="A38" i="205" s="1"/>
  <c r="A39" i="205" s="1"/>
  <c r="A40" i="205" s="1"/>
  <c r="A41" i="205" s="1"/>
  <c r="A42" i="205" s="1"/>
  <c r="A43" i="205" s="1"/>
  <c r="A44" i="205" s="1"/>
  <c r="E66" i="204"/>
  <c r="E54" i="204"/>
  <c r="E58" i="204"/>
  <c r="E59" i="204"/>
  <c r="E67" i="204"/>
  <c r="E57" i="204"/>
  <c r="E55" i="204"/>
  <c r="E69" i="204"/>
  <c r="A31" i="206"/>
  <c r="A32" i="206" s="1"/>
  <c r="A33" i="206" s="1"/>
  <c r="A34" i="206" s="1"/>
  <c r="A35" i="206" s="1"/>
  <c r="A36" i="206" s="1"/>
  <c r="A37" i="206" s="1"/>
  <c r="A38" i="206" s="1"/>
  <c r="A39" i="206" s="1"/>
  <c r="A40" i="206" s="1"/>
  <c r="A41" i="206" s="1"/>
  <c r="A42" i="206" s="1"/>
  <c r="A43" i="206" s="1"/>
  <c r="A44" i="206" s="1"/>
  <c r="E71" i="204"/>
  <c r="E70" i="204"/>
  <c r="G82" i="204"/>
  <c r="G80" i="204"/>
  <c r="G142" i="204"/>
  <c r="G148" i="204" s="1"/>
  <c r="B18" i="204"/>
  <c r="B23" i="204" s="1"/>
  <c r="B25" i="204" s="1"/>
  <c r="B26" i="204" s="1"/>
  <c r="H219" i="204"/>
  <c r="M30" i="210"/>
  <c r="H33" i="208" s="1"/>
  <c r="A46" i="220"/>
  <c r="A48" i="220" s="1"/>
  <c r="A50" i="220" s="1"/>
  <c r="A51" i="220" s="1"/>
  <c r="D47" i="220"/>
  <c r="L67" i="204"/>
  <c r="D41" i="212"/>
  <c r="E17" i="216"/>
  <c r="E17" i="215"/>
  <c r="F30" i="215"/>
  <c r="P21" i="215" s="1"/>
  <c r="F30" i="216"/>
  <c r="R22" i="216" s="1"/>
  <c r="G172" i="204"/>
  <c r="K47" i="210"/>
  <c r="F45" i="208" s="1"/>
  <c r="G79" i="204"/>
  <c r="L206" i="204"/>
  <c r="G63" i="204"/>
  <c r="G134" i="204"/>
  <c r="G46" i="206"/>
  <c r="L68" i="204" s="1"/>
  <c r="H37" i="208"/>
  <c r="H51" i="208" s="1"/>
  <c r="H19" i="208"/>
  <c r="D39" i="212"/>
  <c r="I19" i="208"/>
  <c r="M30" i="209"/>
  <c r="H32" i="208" s="1"/>
  <c r="L18" i="210"/>
  <c r="G20" i="208" s="1"/>
  <c r="F27" i="212"/>
  <c r="D17" i="212"/>
  <c r="D47" i="212" s="1"/>
  <c r="D49" i="212" s="1"/>
  <c r="L174" i="204" s="1"/>
  <c r="E19" i="212"/>
  <c r="L54" i="204"/>
  <c r="E88" i="204"/>
  <c r="L232" i="204"/>
  <c r="E237" i="204" s="1"/>
  <c r="D35" i="208"/>
  <c r="D36" i="208" s="1"/>
  <c r="G89" i="204" s="1"/>
  <c r="N30" i="209"/>
  <c r="I32" i="208" s="1"/>
  <c r="L47" i="209"/>
  <c r="G44" i="208" s="1"/>
  <c r="M18" i="210"/>
  <c r="H20" i="208" s="1"/>
  <c r="N47" i="210"/>
  <c r="I45" i="208" s="1"/>
  <c r="C44" i="208"/>
  <c r="C45" i="208"/>
  <c r="D38" i="212"/>
  <c r="L30" i="210"/>
  <c r="G33" i="208" s="1"/>
  <c r="D25" i="213"/>
  <c r="D51" i="213" s="1"/>
  <c r="P51" i="213"/>
  <c r="N30" i="210"/>
  <c r="I33" i="208" s="1"/>
  <c r="A14" i="211"/>
  <c r="A18" i="211" s="1"/>
  <c r="A19" i="211" s="1"/>
  <c r="A20" i="211" s="1"/>
  <c r="A21" i="211" s="1"/>
  <c r="A22" i="211" s="1"/>
  <c r="A23" i="211" s="1"/>
  <c r="A24" i="211" s="1"/>
  <c r="A25" i="211" s="1"/>
  <c r="A26" i="211" s="1"/>
  <c r="A27" i="211" s="1"/>
  <c r="A28" i="211" s="1"/>
  <c r="A29" i="211" s="1"/>
  <c r="A30" i="211" s="1"/>
  <c r="A32" i="211" s="1"/>
  <c r="C55" i="211"/>
  <c r="H55" i="211" s="1"/>
  <c r="C51" i="211"/>
  <c r="H51" i="211" s="1"/>
  <c r="C47" i="211"/>
  <c r="H47" i="211" s="1"/>
  <c r="C56" i="211"/>
  <c r="H56" i="211" s="1"/>
  <c r="C52" i="211"/>
  <c r="H52" i="211" s="1"/>
  <c r="C48" i="211"/>
  <c r="H48" i="211" s="1"/>
  <c r="C53" i="211"/>
  <c r="H53" i="211" s="1"/>
  <c r="C49" i="211"/>
  <c r="H49" i="211" s="1"/>
  <c r="C45" i="211"/>
  <c r="H45" i="211" s="1"/>
  <c r="I45" i="211" s="1"/>
  <c r="I46" i="211" s="1"/>
  <c r="F81" i="216"/>
  <c r="F81" i="215"/>
  <c r="E42" i="212"/>
  <c r="K18" i="210" s="1"/>
  <c r="F20" i="208" s="1"/>
  <c r="D35" i="212"/>
  <c r="B22" i="214"/>
  <c r="R14" i="216"/>
  <c r="F13" i="216"/>
  <c r="E18" i="216" s="1"/>
  <c r="J47" i="210"/>
  <c r="E45" i="208" s="1"/>
  <c r="M55" i="221"/>
  <c r="A30" i="222"/>
  <c r="A31" i="222" s="1"/>
  <c r="A32" i="222" s="1"/>
  <c r="A33" i="222" s="1"/>
  <c r="A34" i="222" s="1"/>
  <c r="A35" i="222" s="1"/>
  <c r="A36" i="222" s="1"/>
  <c r="A37" i="222" s="1"/>
  <c r="A38" i="222" s="1"/>
  <c r="A39" i="222" s="1"/>
  <c r="A40" i="222" s="1"/>
  <c r="A41" i="222" s="1"/>
  <c r="A42" i="222" s="1"/>
  <c r="A43" i="222" s="1"/>
  <c r="O109" i="215"/>
  <c r="O117" i="215"/>
  <c r="O125" i="215"/>
  <c r="O133" i="215"/>
  <c r="A17" i="212"/>
  <c r="D22" i="212"/>
  <c r="B10" i="214"/>
  <c r="O108" i="215"/>
  <c r="O116" i="215"/>
  <c r="O124" i="215"/>
  <c r="O132" i="215"/>
  <c r="O140" i="215"/>
  <c r="K40" i="220"/>
  <c r="I40" i="220"/>
  <c r="D20" i="223"/>
  <c r="F20" i="223"/>
  <c r="J20" i="223" s="1"/>
  <c r="N20" i="223" s="1"/>
  <c r="E104" i="215"/>
  <c r="E235" i="204"/>
  <c r="H16" i="227"/>
  <c r="G98" i="204" s="1"/>
  <c r="B14" i="218"/>
  <c r="B15" i="218" s="1"/>
  <c r="B16" i="218" s="1"/>
  <c r="B17" i="218" s="1"/>
  <c r="B18" i="218" s="1"/>
  <c r="B19" i="218" s="1"/>
  <c r="B20" i="218" s="1"/>
  <c r="B21" i="218" s="1"/>
  <c r="E132" i="204" s="1"/>
  <c r="E78" i="222"/>
  <c r="A26" i="226"/>
  <c r="A27" i="226" s="1"/>
  <c r="A28" i="226" s="1"/>
  <c r="A29" i="226" s="1"/>
  <c r="A30" i="226" s="1"/>
  <c r="A31" i="226" s="1"/>
  <c r="A32" i="226" s="1"/>
  <c r="A33" i="226" s="1"/>
  <c r="A34" i="226" s="1"/>
  <c r="A35" i="226" s="1"/>
  <c r="A36" i="226" s="1"/>
  <c r="A39" i="226" s="1"/>
  <c r="B22" i="228"/>
  <c r="B21" i="228"/>
  <c r="B20" i="228"/>
  <c r="B19" i="228"/>
  <c r="B23" i="228"/>
  <c r="A44" i="219" l="1"/>
  <c r="A45" i="219" s="1"/>
  <c r="A46" i="219" s="1"/>
  <c r="A47" i="219" s="1"/>
  <c r="A48" i="219" s="1"/>
  <c r="A50" i="219" s="1"/>
  <c r="E146" i="204" s="1"/>
  <c r="E145" i="204"/>
  <c r="F21" i="218"/>
  <c r="G165" i="204"/>
  <c r="J30" i="210"/>
  <c r="E33" i="208" s="1"/>
  <c r="J26" i="209"/>
  <c r="J30" i="209" s="1"/>
  <c r="E32" i="208" s="1"/>
  <c r="P12" i="215"/>
  <c r="J15" i="209"/>
  <c r="H13" i="211"/>
  <c r="H14" i="211" s="1"/>
  <c r="C30" i="211" s="1"/>
  <c r="H30" i="211" s="1"/>
  <c r="R20" i="223"/>
  <c r="H18" i="211"/>
  <c r="I18" i="211" s="1"/>
  <c r="D18" i="211"/>
  <c r="I47" i="211"/>
  <c r="I48" i="211" s="1"/>
  <c r="I49" i="211" s="1"/>
  <c r="I50" i="211" s="1"/>
  <c r="I51" i="211" s="1"/>
  <c r="I52" i="211" s="1"/>
  <c r="I53" i="211" s="1"/>
  <c r="I54" i="211" s="1"/>
  <c r="I55" i="211" s="1"/>
  <c r="I56" i="211" s="1"/>
  <c r="I58" i="211" s="1"/>
  <c r="D22" i="208"/>
  <c r="D23" i="208" s="1"/>
  <c r="D25" i="208" s="1"/>
  <c r="G83" i="204"/>
  <c r="D23" i="212"/>
  <c r="B31" i="224"/>
  <c r="B23" i="224"/>
  <c r="B25" i="224"/>
  <c r="B24" i="224"/>
  <c r="J12" i="224"/>
  <c r="A3" i="215"/>
  <c r="A3" i="216"/>
  <c r="A3" i="213"/>
  <c r="M3" i="213" s="1"/>
  <c r="A3" i="222"/>
  <c r="A3" i="214"/>
  <c r="A3" i="218"/>
  <c r="A3" i="220"/>
  <c r="A3" i="207"/>
  <c r="A3" i="221"/>
  <c r="B5" i="224"/>
  <c r="A3" i="228"/>
  <c r="B5" i="225"/>
  <c r="B4" i="212"/>
  <c r="A4" i="217"/>
  <c r="A6" i="226"/>
  <c r="B5" i="223"/>
  <c r="A3" i="219"/>
  <c r="B29" i="224"/>
  <c r="B28" i="224"/>
  <c r="B27" i="224"/>
  <c r="B22" i="224"/>
  <c r="B32" i="224"/>
  <c r="B26" i="224"/>
  <c r="B19" i="223"/>
  <c r="C13" i="226" s="1"/>
  <c r="B30" i="223"/>
  <c r="C24" i="226" s="1"/>
  <c r="B26" i="223"/>
  <c r="C20" i="226" s="1"/>
  <c r="B22" i="223"/>
  <c r="C16" i="226" s="1"/>
  <c r="J10" i="223"/>
  <c r="B9" i="223" s="1"/>
  <c r="B29" i="223"/>
  <c r="C23" i="226" s="1"/>
  <c r="B25" i="223"/>
  <c r="C19" i="226" s="1"/>
  <c r="B21" i="223"/>
  <c r="C15" i="226" s="1"/>
  <c r="B28" i="223"/>
  <c r="C22" i="226" s="1"/>
  <c r="B24" i="223"/>
  <c r="C18" i="226" s="1"/>
  <c r="B20" i="223"/>
  <c r="C14" i="226" s="1"/>
  <c r="B27" i="223"/>
  <c r="C21" i="226" s="1"/>
  <c r="B23" i="223"/>
  <c r="C17" i="226" s="1"/>
  <c r="B31" i="225"/>
  <c r="B27" i="225"/>
  <c r="B23" i="225"/>
  <c r="B29" i="225"/>
  <c r="B30" i="225"/>
  <c r="B26" i="225"/>
  <c r="J12" i="225"/>
  <c r="B11" i="225" s="1"/>
  <c r="B25" i="225"/>
  <c r="B22" i="225"/>
  <c r="B32" i="225"/>
  <c r="B28" i="225"/>
  <c r="B24" i="225"/>
  <c r="B21" i="225"/>
  <c r="B30" i="224"/>
  <c r="G47" i="208"/>
  <c r="G48" i="208" s="1"/>
  <c r="G50" i="208" s="1"/>
  <c r="E47" i="208"/>
  <c r="E48" i="208" s="1"/>
  <c r="E50" i="208" s="1"/>
  <c r="E52" i="208" s="1"/>
  <c r="I47" i="208"/>
  <c r="I48" i="208" s="1"/>
  <c r="I50" i="208" s="1"/>
  <c r="F47" i="208"/>
  <c r="F48" i="208" s="1"/>
  <c r="F35" i="208"/>
  <c r="F36" i="208" s="1"/>
  <c r="F38" i="208" s="1"/>
  <c r="I22" i="208"/>
  <c r="I23" i="208" s="1"/>
  <c r="I25" i="208" s="1"/>
  <c r="D50" i="208"/>
  <c r="H47" i="208"/>
  <c r="H48" i="208" s="1"/>
  <c r="H50" i="208" s="1"/>
  <c r="H52" i="208" s="1"/>
  <c r="G35" i="208"/>
  <c r="G36" i="208" s="1"/>
  <c r="G22" i="208"/>
  <c r="G23" i="208" s="1"/>
  <c r="E73" i="204"/>
  <c r="A46" i="206"/>
  <c r="E68" i="204" s="1"/>
  <c r="E74" i="204"/>
  <c r="E72" i="204"/>
  <c r="A18" i="212"/>
  <c r="C19" i="212"/>
  <c r="C47" i="212"/>
  <c r="E26" i="212"/>
  <c r="D19" i="212"/>
  <c r="D45" i="211"/>
  <c r="D46" i="211" s="1"/>
  <c r="D47" i="211" s="1"/>
  <c r="D48" i="211" s="1"/>
  <c r="D49" i="211" s="1"/>
  <c r="D50" i="211" s="1"/>
  <c r="D51" i="211" s="1"/>
  <c r="D52" i="211" s="1"/>
  <c r="D53" i="211" s="1"/>
  <c r="D54" i="211" s="1"/>
  <c r="D55" i="211" s="1"/>
  <c r="D56" i="211" s="1"/>
  <c r="D58" i="211" s="1"/>
  <c r="I60" i="211" s="1"/>
  <c r="F49" i="208" s="1"/>
  <c r="R19" i="216"/>
  <c r="A52" i="220"/>
  <c r="A53" i="220" s="1"/>
  <c r="D208" i="204"/>
  <c r="A53" i="205"/>
  <c r="E94" i="204" s="1"/>
  <c r="A52" i="205"/>
  <c r="D207" i="204"/>
  <c r="A51" i="205"/>
  <c r="E62" i="204"/>
  <c r="E60" i="204"/>
  <c r="E61" i="204"/>
  <c r="A50" i="205"/>
  <c r="E89" i="204"/>
  <c r="A50" i="222"/>
  <c r="A51" i="222" s="1"/>
  <c r="D235" i="204"/>
  <c r="B34" i="211"/>
  <c r="A34" i="211"/>
  <c r="H22" i="208"/>
  <c r="H23" i="208" s="1"/>
  <c r="H25" i="208" s="1"/>
  <c r="H27" i="208" s="1"/>
  <c r="A49" i="208"/>
  <c r="A50" i="208" s="1"/>
  <c r="A51" i="208" s="1"/>
  <c r="A52" i="208" s="1"/>
  <c r="A58" i="208" s="1"/>
  <c r="A59" i="208" s="1"/>
  <c r="A61" i="208" s="1"/>
  <c r="A62" i="208" s="1"/>
  <c r="D42" i="212"/>
  <c r="K14" i="209"/>
  <c r="B46" i="206"/>
  <c r="L78" i="204"/>
  <c r="P18" i="215"/>
  <c r="B35" i="224"/>
  <c r="B36" i="224"/>
  <c r="B37" i="224"/>
  <c r="B38" i="224"/>
  <c r="B39" i="224"/>
  <c r="B40" i="224"/>
  <c r="J13" i="224"/>
  <c r="B11" i="224"/>
  <c r="B39" i="226"/>
  <c r="H22" i="223"/>
  <c r="P33" i="215"/>
  <c r="F83" i="215"/>
  <c r="F84" i="215" s="1"/>
  <c r="F85" i="215" s="1"/>
  <c r="I35" i="208"/>
  <c r="I36" i="208" s="1"/>
  <c r="L179" i="204"/>
  <c r="G179" i="204"/>
  <c r="G180" i="204"/>
  <c r="L180" i="204"/>
  <c r="G178" i="204"/>
  <c r="E43" i="212"/>
  <c r="B25" i="228"/>
  <c r="E133" i="204"/>
  <c r="R34" i="216"/>
  <c r="F83" i="216"/>
  <c r="F84" i="216" s="1"/>
  <c r="F85" i="216" s="1"/>
  <c r="G101" i="204"/>
  <c r="G109" i="204" s="1"/>
  <c r="G150" i="204"/>
  <c r="E27" i="204"/>
  <c r="B27" i="204"/>
  <c r="B29" i="204" s="1"/>
  <c r="D29" i="204"/>
  <c r="L209" i="204"/>
  <c r="L56" i="204" s="1"/>
  <c r="F104" i="215"/>
  <c r="F21" i="223"/>
  <c r="J21" i="223" s="1"/>
  <c r="N21" i="223" s="1"/>
  <c r="H24" i="223" s="1"/>
  <c r="D21" i="223"/>
  <c r="E238" i="204"/>
  <c r="H35" i="208"/>
  <c r="H36" i="208" s="1"/>
  <c r="H38" i="208" s="1"/>
  <c r="G111" i="204"/>
  <c r="L111" i="204" s="1"/>
  <c r="K18" i="209" l="1"/>
  <c r="F19" i="208" s="1"/>
  <c r="F22" i="208" s="1"/>
  <c r="F23" i="208" s="1"/>
  <c r="F25" i="208" s="1"/>
  <c r="F27" i="208" s="1"/>
  <c r="C53" i="220"/>
  <c r="C20" i="211"/>
  <c r="H20" i="211" s="1"/>
  <c r="C21" i="211"/>
  <c r="H21" i="211" s="1"/>
  <c r="C19" i="211"/>
  <c r="H19" i="211" s="1"/>
  <c r="I19" i="211" s="1"/>
  <c r="I20" i="211" s="1"/>
  <c r="I21" i="211" s="1"/>
  <c r="I22" i="211" s="1"/>
  <c r="C28" i="211"/>
  <c r="H28" i="211" s="1"/>
  <c r="C27" i="211"/>
  <c r="H27" i="211" s="1"/>
  <c r="C22" i="211"/>
  <c r="H22" i="211" s="1"/>
  <c r="C25" i="211"/>
  <c r="H25" i="211" s="1"/>
  <c r="C24" i="211"/>
  <c r="H24" i="211" s="1"/>
  <c r="C26" i="211"/>
  <c r="H26" i="211" s="1"/>
  <c r="C29" i="211"/>
  <c r="H29" i="211" s="1"/>
  <c r="C23" i="211"/>
  <c r="H23" i="211" s="1"/>
  <c r="E35" i="208"/>
  <c r="E36" i="208" s="1"/>
  <c r="E38" i="208" s="1"/>
  <c r="J18" i="210"/>
  <c r="E20" i="208" s="1"/>
  <c r="G88" i="204"/>
  <c r="G92" i="204" s="1"/>
  <c r="G113" i="204" s="1"/>
  <c r="B35" i="225"/>
  <c r="J13" i="225"/>
  <c r="B38" i="225"/>
  <c r="B36" i="225"/>
  <c r="B40" i="225"/>
  <c r="B37" i="225"/>
  <c r="B39" i="225"/>
  <c r="B38" i="223"/>
  <c r="C30" i="226" s="1"/>
  <c r="B35" i="223"/>
  <c r="C27" i="226" s="1"/>
  <c r="B41" i="223"/>
  <c r="C33" i="226" s="1"/>
  <c r="B39" i="223"/>
  <c r="C31" i="226" s="1"/>
  <c r="B34" i="223"/>
  <c r="C26" i="226" s="1"/>
  <c r="B44" i="223"/>
  <c r="C36" i="226" s="1"/>
  <c r="B42" i="223"/>
  <c r="C34" i="226" s="1"/>
  <c r="B40" i="223"/>
  <c r="C32" i="226" s="1"/>
  <c r="B37" i="223"/>
  <c r="C29" i="226" s="1"/>
  <c r="B43" i="223"/>
  <c r="C35" i="226" s="1"/>
  <c r="J11" i="223"/>
  <c r="B33" i="223"/>
  <c r="C25" i="226" s="1"/>
  <c r="B36" i="223"/>
  <c r="C28" i="226" s="1"/>
  <c r="F50" i="208"/>
  <c r="F52" i="208" s="1"/>
  <c r="F35" i="216"/>
  <c r="R25" i="216" s="1"/>
  <c r="F35" i="215"/>
  <c r="P24" i="215" s="1"/>
  <c r="A37" i="211"/>
  <c r="C24" i="208"/>
  <c r="A63" i="208"/>
  <c r="A64" i="208" s="1"/>
  <c r="E91" i="204" s="1"/>
  <c r="B40" i="220"/>
  <c r="C61" i="216"/>
  <c r="S31" i="216" s="1"/>
  <c r="C61" i="215"/>
  <c r="Q30" i="215" s="1"/>
  <c r="A19" i="212"/>
  <c r="C22" i="212"/>
  <c r="D105" i="215"/>
  <c r="E105" i="215"/>
  <c r="D43" i="212"/>
  <c r="J14" i="209"/>
  <c r="E27" i="212"/>
  <c r="D27" i="212" s="1"/>
  <c r="D26" i="212"/>
  <c r="L211" i="204"/>
  <c r="F34" i="216"/>
  <c r="R24" i="216" s="1"/>
  <c r="F34" i="215"/>
  <c r="P23" i="215" s="1"/>
  <c r="D19" i="211"/>
  <c r="D20" i="211" s="1"/>
  <c r="D21" i="211" s="1"/>
  <c r="B28" i="228"/>
  <c r="B27" i="228"/>
  <c r="B26" i="228"/>
  <c r="E79" i="222"/>
  <c r="E81" i="222" s="1"/>
  <c r="E82" i="222" s="1"/>
  <c r="E53" i="222" s="1"/>
  <c r="E58" i="222" s="1"/>
  <c r="G235" i="204"/>
  <c r="G236" i="204"/>
  <c r="G237" i="204"/>
  <c r="D22" i="223"/>
  <c r="F22" i="223"/>
  <c r="J22" i="223" s="1"/>
  <c r="N22" i="223" s="1"/>
  <c r="R21" i="223"/>
  <c r="H23" i="223"/>
  <c r="D32" i="204"/>
  <c r="B30" i="204"/>
  <c r="E90" i="204"/>
  <c r="A52" i="222"/>
  <c r="A53" i="222" s="1"/>
  <c r="A54" i="222" s="1"/>
  <c r="A55" i="222" s="1"/>
  <c r="A56" i="222" s="1"/>
  <c r="A57" i="222" s="1"/>
  <c r="A58" i="222" s="1"/>
  <c r="J18" i="209" l="1"/>
  <c r="E19" i="208" s="1"/>
  <c r="E22" i="208" s="1"/>
  <c r="E23" i="208" s="1"/>
  <c r="E25" i="208" s="1"/>
  <c r="E27" i="208" s="1"/>
  <c r="R22" i="223"/>
  <c r="D22" i="211"/>
  <c r="D23" i="211" s="1"/>
  <c r="D24" i="211" s="1"/>
  <c r="D25" i="211" s="1"/>
  <c r="D26" i="211" s="1"/>
  <c r="D27" i="211" s="1"/>
  <c r="D28" i="211" s="1"/>
  <c r="D29" i="211" s="1"/>
  <c r="D30" i="211" s="1"/>
  <c r="D32" i="211" s="1"/>
  <c r="I23" i="211"/>
  <c r="I24" i="211" s="1"/>
  <c r="I25" i="211" s="1"/>
  <c r="I26" i="211" s="1"/>
  <c r="I27" i="211" s="1"/>
  <c r="I28" i="211" s="1"/>
  <c r="I29" i="211" s="1"/>
  <c r="I30" i="211" s="1"/>
  <c r="I32" i="211" s="1"/>
  <c r="D17" i="216"/>
  <c r="D17" i="215"/>
  <c r="D18" i="216"/>
  <c r="D18" i="215"/>
  <c r="D16" i="216"/>
  <c r="R16" i="216" s="1"/>
  <c r="D16" i="215"/>
  <c r="P15" i="215" s="1"/>
  <c r="B59" i="223"/>
  <c r="B58" i="223"/>
  <c r="B50" i="223"/>
  <c r="B51" i="223"/>
  <c r="B57" i="223"/>
  <c r="B56" i="223"/>
  <c r="B53" i="223"/>
  <c r="B48" i="223"/>
  <c r="B54" i="223"/>
  <c r="B49" i="223"/>
  <c r="B52" i="223"/>
  <c r="B55" i="223"/>
  <c r="J144" i="204"/>
  <c r="L144" i="204" s="1"/>
  <c r="J215" i="204"/>
  <c r="L215" i="204" s="1"/>
  <c r="L219" i="204" s="1"/>
  <c r="L221" i="204" s="1"/>
  <c r="J102" i="204"/>
  <c r="L102" i="204" s="1"/>
  <c r="J153" i="204"/>
  <c r="L153" i="204" s="1"/>
  <c r="J134" i="204"/>
  <c r="L134" i="204" s="1"/>
  <c r="L101" i="204" s="1"/>
  <c r="J57" i="204"/>
  <c r="L57" i="204" s="1"/>
  <c r="A21" i="212"/>
  <c r="C26" i="212"/>
  <c r="E60" i="222"/>
  <c r="J235" i="204" s="1"/>
  <c r="L225" i="204"/>
  <c r="B60" i="222"/>
  <c r="A60" i="222"/>
  <c r="A63" i="222" s="1"/>
  <c r="E225" i="204"/>
  <c r="B58" i="222"/>
  <c r="D23" i="223"/>
  <c r="F23" i="223"/>
  <c r="J23" i="223" s="1"/>
  <c r="N23" i="223" s="1"/>
  <c r="B30" i="228"/>
  <c r="E141" i="204"/>
  <c r="A38" i="211"/>
  <c r="A39" i="211" s="1"/>
  <c r="L237" i="204"/>
  <c r="C77" i="216"/>
  <c r="S33" i="216" s="1"/>
  <c r="C77" i="215"/>
  <c r="Q32" i="215" s="1"/>
  <c r="B32" i="204"/>
  <c r="B33" i="204" s="1"/>
  <c r="B105" i="215"/>
  <c r="F105" i="215"/>
  <c r="L236" i="204"/>
  <c r="F82" i="129"/>
  <c r="F82" i="143"/>
  <c r="I34" i="211" l="1"/>
  <c r="G24" i="208" s="1"/>
  <c r="G25" i="208" s="1"/>
  <c r="J155" i="204"/>
  <c r="L155" i="204" s="1"/>
  <c r="J154" i="204"/>
  <c r="L154" i="204" s="1"/>
  <c r="J142" i="204"/>
  <c r="L142" i="204" s="1"/>
  <c r="J72" i="204"/>
  <c r="L72" i="204" s="1"/>
  <c r="J61" i="204"/>
  <c r="L61" i="204" s="1"/>
  <c r="J147" i="204"/>
  <c r="L147" i="204" s="1"/>
  <c r="J73" i="204"/>
  <c r="L73" i="204" s="1"/>
  <c r="J160" i="204"/>
  <c r="L160" i="204" s="1"/>
  <c r="J103" i="204"/>
  <c r="L103" i="204" s="1"/>
  <c r="J105" i="204"/>
  <c r="L105" i="204" s="1"/>
  <c r="J60" i="204"/>
  <c r="L60" i="204" s="1"/>
  <c r="J74" i="204"/>
  <c r="L74" i="204" s="1"/>
  <c r="J62" i="204"/>
  <c r="L62" i="204" s="1"/>
  <c r="I26" i="208"/>
  <c r="J98" i="204"/>
  <c r="L98" i="204" s="1"/>
  <c r="P19" i="215"/>
  <c r="F18" i="215"/>
  <c r="E39" i="211"/>
  <c r="B35" i="204"/>
  <c r="B20" i="204"/>
  <c r="E16" i="216"/>
  <c r="E16" i="215"/>
  <c r="L235" i="204"/>
  <c r="P17" i="215"/>
  <c r="F17" i="215"/>
  <c r="L79" i="204"/>
  <c r="L63" i="204"/>
  <c r="J63" i="204" s="1"/>
  <c r="R20" i="216"/>
  <c r="F18" i="216"/>
  <c r="A22" i="212"/>
  <c r="A23" i="212" s="1"/>
  <c r="A25" i="212" s="1"/>
  <c r="B31" i="228"/>
  <c r="B33" i="228"/>
  <c r="B32" i="228"/>
  <c r="E40" i="211"/>
  <c r="A40" i="211"/>
  <c r="A44" i="211" s="1"/>
  <c r="A45" i="211" s="1"/>
  <c r="A46" i="211" s="1"/>
  <c r="A47" i="211" s="1"/>
  <c r="A48" i="211" s="1"/>
  <c r="A49" i="211" s="1"/>
  <c r="A50" i="211" s="1"/>
  <c r="A51" i="211" s="1"/>
  <c r="A52" i="211" s="1"/>
  <c r="A53" i="211" s="1"/>
  <c r="A54" i="211" s="1"/>
  <c r="A55" i="211" s="1"/>
  <c r="A56" i="211" s="1"/>
  <c r="A58" i="211" s="1"/>
  <c r="A66" i="222"/>
  <c r="D65" i="222"/>
  <c r="R18" i="216"/>
  <c r="F17" i="216"/>
  <c r="H105" i="215"/>
  <c r="D106" i="215"/>
  <c r="G105" i="215"/>
  <c r="D24" i="223"/>
  <c r="F24" i="223"/>
  <c r="J24" i="223" s="1"/>
  <c r="N24" i="223" s="1"/>
  <c r="H26" i="223" s="1"/>
  <c r="R23" i="223"/>
  <c r="F55" i="216"/>
  <c r="R30" i="216" s="1"/>
  <c r="F55" i="215"/>
  <c r="P29" i="215" s="1"/>
  <c r="F30" i="145"/>
  <c r="H30" i="203"/>
  <c r="L226" i="86"/>
  <c r="C23" i="212" l="1"/>
  <c r="I105" i="215"/>
  <c r="R24" i="223"/>
  <c r="L156" i="204"/>
  <c r="L75" i="204"/>
  <c r="I27" i="208"/>
  <c r="I37" i="208"/>
  <c r="L81" i="204"/>
  <c r="L82" i="204"/>
  <c r="J162" i="204"/>
  <c r="L162" i="204" s="1"/>
  <c r="J164" i="204"/>
  <c r="L164" i="204" s="1"/>
  <c r="G26" i="208"/>
  <c r="J145" i="204"/>
  <c r="L145" i="204" s="1"/>
  <c r="J106" i="204"/>
  <c r="L106" i="204" s="1"/>
  <c r="J178" i="204"/>
  <c r="L178" i="204" s="1"/>
  <c r="J143" i="204"/>
  <c r="L143" i="204" s="1"/>
  <c r="J104" i="204"/>
  <c r="L104" i="204" s="1"/>
  <c r="F71" i="216"/>
  <c r="F71" i="215"/>
  <c r="H25" i="223"/>
  <c r="B106" i="215"/>
  <c r="B40" i="228"/>
  <c r="B42" i="228"/>
  <c r="B39" i="228"/>
  <c r="B45" i="228" s="1"/>
  <c r="E96" i="204" s="1"/>
  <c r="B44" i="228"/>
  <c r="B43" i="228"/>
  <c r="B41" i="228"/>
  <c r="E147" i="204"/>
  <c r="A67" i="222"/>
  <c r="A68" i="222" s="1"/>
  <c r="A69" i="222" s="1"/>
  <c r="A70" i="222" s="1"/>
  <c r="A71" i="222" s="1"/>
  <c r="A72" i="222" s="1"/>
  <c r="A73" i="222" s="1"/>
  <c r="A74" i="222" s="1"/>
  <c r="A75" i="222" s="1"/>
  <c r="A76" i="222" s="1"/>
  <c r="G169" i="204"/>
  <c r="L238" i="204"/>
  <c r="H27" i="223"/>
  <c r="P16" i="215"/>
  <c r="F16" i="215"/>
  <c r="E106" i="215"/>
  <c r="F106" i="215" s="1"/>
  <c r="R17" i="216"/>
  <c r="F16" i="216"/>
  <c r="D25" i="223"/>
  <c r="F25" i="223"/>
  <c r="J25" i="223" s="1"/>
  <c r="N25" i="223" s="1"/>
  <c r="R25" i="223" s="1"/>
  <c r="B60" i="211"/>
  <c r="A60" i="211"/>
  <c r="C49" i="208" s="1"/>
  <c r="A26" i="212"/>
  <c r="A27" i="212" s="1"/>
  <c r="A32" i="212" s="1"/>
  <c r="C27" i="212"/>
  <c r="D277" i="204"/>
  <c r="B54" i="204"/>
  <c r="G11" i="203"/>
  <c r="C65" i="203"/>
  <c r="B50" i="203"/>
  <c r="A5" i="203"/>
  <c r="A2" i="203"/>
  <c r="D76" i="203"/>
  <c r="C76" i="203"/>
  <c r="E52" i="203" s="1"/>
  <c r="F75" i="203"/>
  <c r="E74" i="203"/>
  <c r="E73" i="203"/>
  <c r="E72" i="203"/>
  <c r="E71" i="203"/>
  <c r="E70" i="203"/>
  <c r="E69" i="203"/>
  <c r="E68" i="203"/>
  <c r="E67" i="203"/>
  <c r="E66" i="203"/>
  <c r="H42" i="203"/>
  <c r="H41" i="203"/>
  <c r="H40" i="203"/>
  <c r="H39" i="203"/>
  <c r="H38" i="203"/>
  <c r="H37" i="203"/>
  <c r="H36" i="203"/>
  <c r="H35" i="203"/>
  <c r="H34" i="203"/>
  <c r="H33" i="203"/>
  <c r="H32" i="203"/>
  <c r="H31" i="203"/>
  <c r="L231" i="86"/>
  <c r="L230" i="86"/>
  <c r="L228" i="86"/>
  <c r="G23" i="203"/>
  <c r="G22" i="203"/>
  <c r="G21" i="203"/>
  <c r="G20" i="203"/>
  <c r="G19" i="203"/>
  <c r="G18" i="203"/>
  <c r="G17" i="203"/>
  <c r="G16" i="203"/>
  <c r="G15" i="203"/>
  <c r="G14" i="203"/>
  <c r="G13" i="203"/>
  <c r="G12" i="203"/>
  <c r="A12" i="203"/>
  <c r="A13" i="203" s="1"/>
  <c r="A14" i="203" s="1"/>
  <c r="A15" i="203" s="1"/>
  <c r="A16" i="203" s="1"/>
  <c r="A17" i="203" s="1"/>
  <c r="A18" i="203" s="1"/>
  <c r="A19" i="203" s="1"/>
  <c r="A20" i="203" s="1"/>
  <c r="A21" i="203" s="1"/>
  <c r="A22" i="203" s="1"/>
  <c r="A23" i="203" s="1"/>
  <c r="A24" i="203" s="1"/>
  <c r="B86" i="203" s="1"/>
  <c r="E102" i="86"/>
  <c r="D23" i="74"/>
  <c r="D49" i="74"/>
  <c r="D48" i="74"/>
  <c r="D47" i="74"/>
  <c r="D45" i="74"/>
  <c r="D44" i="74"/>
  <c r="D43" i="74"/>
  <c r="D42" i="74"/>
  <c r="D41" i="74"/>
  <c r="D40" i="74"/>
  <c r="D39" i="74"/>
  <c r="D38" i="74"/>
  <c r="D37" i="74"/>
  <c r="D36" i="74"/>
  <c r="D35" i="74"/>
  <c r="D34" i="74"/>
  <c r="D33" i="74"/>
  <c r="D32" i="74"/>
  <c r="D31" i="74"/>
  <c r="D30" i="74"/>
  <c r="D29" i="74"/>
  <c r="D28" i="74"/>
  <c r="D27" i="74"/>
  <c r="G27" i="74" s="1"/>
  <c r="D26" i="74"/>
  <c r="I26" i="74" s="1"/>
  <c r="D25" i="74"/>
  <c r="I25" i="74" s="1"/>
  <c r="M53" i="74"/>
  <c r="L17" i="74"/>
  <c r="L18" i="74" s="1"/>
  <c r="L25" i="74" s="1"/>
  <c r="L26" i="74" s="1"/>
  <c r="L27" i="74" s="1"/>
  <c r="L28" i="74" s="1"/>
  <c r="L29" i="74" s="1"/>
  <c r="L30" i="74" s="1"/>
  <c r="L31" i="74" s="1"/>
  <c r="L32" i="74" s="1"/>
  <c r="L33" i="74" s="1"/>
  <c r="L34" i="74" s="1"/>
  <c r="L35" i="74" s="1"/>
  <c r="L36" i="74" s="1"/>
  <c r="L37" i="74" s="1"/>
  <c r="L38" i="74" s="1"/>
  <c r="L39" i="74" s="1"/>
  <c r="L40" i="74" s="1"/>
  <c r="L41" i="74" s="1"/>
  <c r="L42" i="74" s="1"/>
  <c r="L43" i="74" s="1"/>
  <c r="L44" i="74" s="1"/>
  <c r="L45" i="74" s="1"/>
  <c r="L46" i="74" s="1"/>
  <c r="L47" i="74" s="1"/>
  <c r="L48" i="74" s="1"/>
  <c r="L49" i="74" s="1"/>
  <c r="L51" i="74" s="1"/>
  <c r="G102" i="86"/>
  <c r="A17" i="74"/>
  <c r="E103" i="86" s="1"/>
  <c r="M4" i="74"/>
  <c r="AC12" i="74"/>
  <c r="AB12" i="74"/>
  <c r="AA12" i="74"/>
  <c r="Z12" i="74"/>
  <c r="Y12" i="74"/>
  <c r="X12" i="74"/>
  <c r="W12" i="74"/>
  <c r="V12" i="74"/>
  <c r="U12" i="74"/>
  <c r="T12" i="74"/>
  <c r="S12" i="74"/>
  <c r="R12" i="74"/>
  <c r="Q12" i="74"/>
  <c r="N27" i="74"/>
  <c r="M27" i="74"/>
  <c r="N26" i="74"/>
  <c r="M26" i="74"/>
  <c r="N25" i="74"/>
  <c r="M25" i="74"/>
  <c r="R51" i="74"/>
  <c r="S51" i="74"/>
  <c r="T51" i="74"/>
  <c r="U51" i="74"/>
  <c r="V51" i="74"/>
  <c r="W51" i="74"/>
  <c r="X51" i="74"/>
  <c r="Y51" i="74"/>
  <c r="Z51" i="74"/>
  <c r="AA51" i="74"/>
  <c r="AB51" i="74"/>
  <c r="AC51" i="74"/>
  <c r="Q51" i="74"/>
  <c r="AC23" i="74"/>
  <c r="AB23" i="74"/>
  <c r="AA23" i="74"/>
  <c r="Z23" i="74"/>
  <c r="Y23" i="74"/>
  <c r="X23" i="74"/>
  <c r="W23" i="74"/>
  <c r="V23" i="74"/>
  <c r="U23" i="74"/>
  <c r="T23" i="74"/>
  <c r="S23" i="74"/>
  <c r="R23" i="74"/>
  <c r="Q23" i="74"/>
  <c r="B78" i="222" l="1"/>
  <c r="H43" i="203"/>
  <c r="G24" i="203"/>
  <c r="L83" i="204"/>
  <c r="J83" i="204" s="1"/>
  <c r="L148" i="204"/>
  <c r="L150" i="204" s="1"/>
  <c r="I51" i="208"/>
  <c r="I52" i="208" s="1"/>
  <c r="I38" i="208"/>
  <c r="D107" i="215"/>
  <c r="E107" i="215" s="1"/>
  <c r="G106" i="215"/>
  <c r="H106" i="215"/>
  <c r="I106" i="215" s="1"/>
  <c r="F33" i="215"/>
  <c r="P22" i="215" s="1"/>
  <c r="F33" i="216"/>
  <c r="R23" i="216" s="1"/>
  <c r="D26" i="223"/>
  <c r="F26" i="223"/>
  <c r="J26" i="223" s="1"/>
  <c r="N26" i="223" s="1"/>
  <c r="G37" i="208"/>
  <c r="G27" i="208"/>
  <c r="J27" i="208" s="1"/>
  <c r="L88" i="204" s="1"/>
  <c r="G184" i="204"/>
  <c r="G177" i="204" s="1"/>
  <c r="G182" i="204" s="1"/>
  <c r="G188" i="204" s="1"/>
  <c r="A33" i="212"/>
  <c r="F31" i="216"/>
  <c r="F19" i="216"/>
  <c r="E24" i="216" s="1"/>
  <c r="P31" i="215"/>
  <c r="B55" i="204"/>
  <c r="B56" i="204" s="1"/>
  <c r="F31" i="215"/>
  <c r="F19" i="215"/>
  <c r="E24" i="215" s="1"/>
  <c r="R32" i="216"/>
  <c r="L165" i="204"/>
  <c r="A78" i="222"/>
  <c r="B52" i="222"/>
  <c r="L109" i="204"/>
  <c r="E86" i="203"/>
  <c r="L229" i="86"/>
  <c r="E236" i="86"/>
  <c r="D46" i="74"/>
  <c r="A30" i="203"/>
  <c r="A31" i="203" s="1"/>
  <c r="A32" i="203" s="1"/>
  <c r="A33" i="203" s="1"/>
  <c r="A34" i="203" s="1"/>
  <c r="A35" i="203" s="1"/>
  <c r="A36" i="203" s="1"/>
  <c r="A37" i="203" s="1"/>
  <c r="A38" i="203" s="1"/>
  <c r="A39" i="203" s="1"/>
  <c r="A40" i="203" s="1"/>
  <c r="A41" i="203" s="1"/>
  <c r="A42" i="203" s="1"/>
  <c r="A43" i="203" s="1"/>
  <c r="D236" i="86"/>
  <c r="E231" i="86"/>
  <c r="E230" i="86"/>
  <c r="E229" i="86"/>
  <c r="E228" i="86"/>
  <c r="E78" i="203"/>
  <c r="E235" i="86"/>
  <c r="D27" i="223" l="1"/>
  <c r="F27" i="223"/>
  <c r="J27" i="223" s="1"/>
  <c r="N27" i="223" s="1"/>
  <c r="H30" i="223" s="1"/>
  <c r="R26" i="223"/>
  <c r="H28" i="223"/>
  <c r="A79" i="222"/>
  <c r="A80" i="222" s="1"/>
  <c r="A81" i="222" s="1"/>
  <c r="A82" i="222" s="1"/>
  <c r="B57" i="204"/>
  <c r="B58" i="204" s="1"/>
  <c r="E206" i="204"/>
  <c r="I38" i="220"/>
  <c r="I41" i="220" s="1"/>
  <c r="I43" i="220" s="1"/>
  <c r="I45" i="220" s="1"/>
  <c r="C48" i="212"/>
  <c r="A34" i="212"/>
  <c r="G51" i="208"/>
  <c r="G38" i="208"/>
  <c r="J38" i="208" s="1"/>
  <c r="L89" i="204" s="1"/>
  <c r="B107" i="215"/>
  <c r="F107" i="215"/>
  <c r="A50" i="203"/>
  <c r="A51" i="203" s="1"/>
  <c r="A52" i="203" s="1"/>
  <c r="A53" i="203" s="1"/>
  <c r="A54" i="203" s="1"/>
  <c r="A55" i="203" s="1"/>
  <c r="A56" i="203" s="1"/>
  <c r="A57" i="203" s="1"/>
  <c r="A58" i="203" s="1"/>
  <c r="A60" i="203" s="1"/>
  <c r="A63" i="203" s="1"/>
  <c r="D235" i="86"/>
  <c r="P51" i="74"/>
  <c r="E88" i="203"/>
  <c r="B58" i="203" l="1"/>
  <c r="H29" i="223"/>
  <c r="B59" i="204"/>
  <c r="B60" i="204" s="1"/>
  <c r="G63" i="208"/>
  <c r="G64" i="208" s="1"/>
  <c r="J64" i="208" s="1"/>
  <c r="L91" i="204" s="1"/>
  <c r="G52" i="208"/>
  <c r="J52" i="208" s="1"/>
  <c r="L90" i="204" s="1"/>
  <c r="I46" i="220"/>
  <c r="I48" i="220" s="1"/>
  <c r="G191" i="204" s="1"/>
  <c r="G193" i="204" s="1"/>
  <c r="B53" i="222"/>
  <c r="A86" i="222"/>
  <c r="A87" i="222" s="1"/>
  <c r="B82" i="222"/>
  <c r="D28" i="223"/>
  <c r="F28" i="223"/>
  <c r="J28" i="223" s="1"/>
  <c r="N28" i="223" s="1"/>
  <c r="R27" i="223"/>
  <c r="D108" i="215"/>
  <c r="G107" i="215"/>
  <c r="H107" i="215"/>
  <c r="E108" i="215"/>
  <c r="A35" i="212"/>
  <c r="C38" i="212"/>
  <c r="C35" i="212"/>
  <c r="E225" i="86"/>
  <c r="B60" i="203"/>
  <c r="A66" i="203"/>
  <c r="D65" i="203"/>
  <c r="L92" i="204" l="1"/>
  <c r="L113" i="204" s="1"/>
  <c r="E23" i="215" s="1"/>
  <c r="D29" i="223"/>
  <c r="F29" i="223"/>
  <c r="J29" i="223" s="1"/>
  <c r="N29" i="223" s="1"/>
  <c r="R28" i="223"/>
  <c r="A37" i="212"/>
  <c r="C42" i="212"/>
  <c r="I107" i="215"/>
  <c r="F108" i="215"/>
  <c r="B108" i="215"/>
  <c r="B88" i="222"/>
  <c r="A88" i="222"/>
  <c r="E226" i="204"/>
  <c r="B61" i="204"/>
  <c r="B62" i="204" s="1"/>
  <c r="A67" i="203"/>
  <c r="A68" i="203" s="1"/>
  <c r="A69" i="203" s="1"/>
  <c r="A70" i="203" s="1"/>
  <c r="A71" i="203" s="1"/>
  <c r="A72" i="203" s="1"/>
  <c r="A73" i="203" s="1"/>
  <c r="A74" i="203" s="1"/>
  <c r="A75" i="203" s="1"/>
  <c r="A76" i="203" s="1"/>
  <c r="E23" i="216" l="1"/>
  <c r="E25" i="216" s="1"/>
  <c r="H108" i="215"/>
  <c r="D109" i="215"/>
  <c r="E109" i="215" s="1"/>
  <c r="G108" i="215"/>
  <c r="P20" i="215"/>
  <c r="E25" i="215"/>
  <c r="B63" i="204"/>
  <c r="B65" i="204" s="1"/>
  <c r="B66" i="204" s="1"/>
  <c r="E63" i="204"/>
  <c r="A38" i="212"/>
  <c r="A39" i="212" s="1"/>
  <c r="A41" i="212" s="1"/>
  <c r="C39" i="212"/>
  <c r="D30" i="223"/>
  <c r="F30" i="223"/>
  <c r="J30" i="223" s="1"/>
  <c r="N30" i="223" s="1"/>
  <c r="R29" i="223"/>
  <c r="B78" i="203"/>
  <c r="A78" i="203"/>
  <c r="B52" i="203"/>
  <c r="R21" i="216" l="1"/>
  <c r="A42" i="212"/>
  <c r="A43" i="212" s="1"/>
  <c r="A47" i="212" s="1"/>
  <c r="F29" i="216"/>
  <c r="F32" i="216" s="1"/>
  <c r="F36" i="216" s="1"/>
  <c r="F51" i="216" s="1"/>
  <c r="F50" i="216"/>
  <c r="B67" i="204"/>
  <c r="B68" i="204" s="1"/>
  <c r="F109" i="215"/>
  <c r="B109" i="215"/>
  <c r="H34" i="223"/>
  <c r="H35" i="223"/>
  <c r="H33" i="223"/>
  <c r="F33" i="223"/>
  <c r="R30" i="223"/>
  <c r="F50" i="215"/>
  <c r="F29" i="215"/>
  <c r="F32" i="215" s="1"/>
  <c r="F36" i="215" s="1"/>
  <c r="F51" i="215" s="1"/>
  <c r="I108" i="215"/>
  <c r="A79" i="203"/>
  <c r="A80" i="203" s="1"/>
  <c r="A81" i="203" s="1"/>
  <c r="A82" i="203" s="1"/>
  <c r="A86" i="203" s="1"/>
  <c r="E78" i="204" l="1"/>
  <c r="C43" i="212"/>
  <c r="D110" i="215"/>
  <c r="H109" i="215"/>
  <c r="G109" i="215"/>
  <c r="B69" i="204"/>
  <c r="B70" i="204" s="1"/>
  <c r="E79" i="204"/>
  <c r="J33" i="223"/>
  <c r="N33" i="223" s="1"/>
  <c r="F34" i="223"/>
  <c r="A48" i="212"/>
  <c r="A49" i="212" s="1"/>
  <c r="E174" i="204" s="1"/>
  <c r="B82" i="203"/>
  <c r="B53" i="203"/>
  <c r="B71" i="204" l="1"/>
  <c r="B72" i="204" s="1"/>
  <c r="E80" i="204"/>
  <c r="F35" i="223"/>
  <c r="J34" i="223"/>
  <c r="N34" i="223" s="1"/>
  <c r="R34" i="223" s="1"/>
  <c r="R33" i="223"/>
  <c r="C49" i="212"/>
  <c r="I109" i="215"/>
  <c r="B110" i="215"/>
  <c r="E110" i="215"/>
  <c r="F110" i="215" s="1"/>
  <c r="H215" i="86"/>
  <c r="H214" i="86"/>
  <c r="L214" i="86"/>
  <c r="G156" i="86"/>
  <c r="H110" i="215" l="1"/>
  <c r="D111" i="215"/>
  <c r="G110" i="215"/>
  <c r="E111" i="215"/>
  <c r="J35" i="223"/>
  <c r="N35" i="223" s="1"/>
  <c r="H38" i="223" s="1"/>
  <c r="F36" i="223"/>
  <c r="B73" i="204"/>
  <c r="B74" i="204" s="1"/>
  <c r="E81" i="204"/>
  <c r="L40" i="196"/>
  <c r="L39" i="196"/>
  <c r="L38" i="196"/>
  <c r="L37" i="196"/>
  <c r="L36" i="196"/>
  <c r="L35" i="196"/>
  <c r="L32" i="196"/>
  <c r="L31" i="196"/>
  <c r="L30" i="196"/>
  <c r="L29" i="196"/>
  <c r="L28" i="196"/>
  <c r="L27" i="196"/>
  <c r="L26" i="196"/>
  <c r="L25" i="196"/>
  <c r="L24" i="196"/>
  <c r="L23" i="196"/>
  <c r="L22" i="196"/>
  <c r="L21" i="196"/>
  <c r="J21" i="196"/>
  <c r="B7" i="196"/>
  <c r="B75" i="204" l="1"/>
  <c r="B77" i="204" s="1"/>
  <c r="B78" i="204" s="1"/>
  <c r="E82" i="204"/>
  <c r="E75" i="204"/>
  <c r="H36" i="223"/>
  <c r="J36" i="223" s="1"/>
  <c r="N36" i="223" s="1"/>
  <c r="R36" i="223" s="1"/>
  <c r="H37" i="223"/>
  <c r="F111" i="215"/>
  <c r="B111" i="215"/>
  <c r="R35" i="223"/>
  <c r="F37" i="223"/>
  <c r="I110" i="215"/>
  <c r="B32" i="196"/>
  <c r="B22" i="196"/>
  <c r="N21" i="196"/>
  <c r="B23" i="196"/>
  <c r="J12" i="196"/>
  <c r="B39" i="196" s="1"/>
  <c r="B40" i="196"/>
  <c r="B21" i="196"/>
  <c r="B24" i="196"/>
  <c r="B25" i="196"/>
  <c r="B26" i="196"/>
  <c r="B27" i="196"/>
  <c r="B28" i="196"/>
  <c r="B29" i="196"/>
  <c r="B30" i="196"/>
  <c r="B31" i="196"/>
  <c r="D34" i="193"/>
  <c r="D33" i="193"/>
  <c r="D48" i="193" s="1"/>
  <c r="D32" i="193"/>
  <c r="D18" i="193"/>
  <c r="G43" i="193"/>
  <c r="G38" i="193"/>
  <c r="G39" i="193" s="1"/>
  <c r="F38" i="193"/>
  <c r="F39" i="193" s="1"/>
  <c r="I22" i="193"/>
  <c r="I23" i="193" s="1"/>
  <c r="H22" i="193"/>
  <c r="H23" i="193" s="1"/>
  <c r="F22" i="193"/>
  <c r="D41" i="193"/>
  <c r="E22" i="193"/>
  <c r="E23" i="193" s="1"/>
  <c r="D37" i="193"/>
  <c r="E35" i="193"/>
  <c r="F35" i="193"/>
  <c r="F43" i="193" l="1"/>
  <c r="F42" i="193"/>
  <c r="D35" i="193"/>
  <c r="B36" i="196"/>
  <c r="B35" i="196"/>
  <c r="J37" i="223"/>
  <c r="N37" i="223" s="1"/>
  <c r="F38" i="223"/>
  <c r="B79" i="204"/>
  <c r="H111" i="215"/>
  <c r="D112" i="215"/>
  <c r="G111" i="215"/>
  <c r="E112" i="215"/>
  <c r="J13" i="196"/>
  <c r="B38" i="196"/>
  <c r="B11" i="196"/>
  <c r="B37" i="196"/>
  <c r="D21" i="193"/>
  <c r="D38" i="193"/>
  <c r="E39" i="193"/>
  <c r="F23" i="193"/>
  <c r="C71" i="216" l="1"/>
  <c r="S32" i="216" s="1"/>
  <c r="C71" i="215"/>
  <c r="Q31" i="215" s="1"/>
  <c r="B80" i="204"/>
  <c r="B81" i="204" s="1"/>
  <c r="B82" i="204" s="1"/>
  <c r="E26" i="204"/>
  <c r="B112" i="215"/>
  <c r="F112" i="215"/>
  <c r="F39" i="223"/>
  <c r="J38" i="223"/>
  <c r="N38" i="223" s="1"/>
  <c r="H41" i="223" s="1"/>
  <c r="I111" i="215"/>
  <c r="R38" i="223"/>
  <c r="R37" i="223"/>
  <c r="D39" i="193"/>
  <c r="K23" i="139"/>
  <c r="D42" i="193"/>
  <c r="E43" i="193"/>
  <c r="H39" i="223" l="1"/>
  <c r="H112" i="215"/>
  <c r="G112" i="215"/>
  <c r="D113" i="215"/>
  <c r="E113" i="215"/>
  <c r="F40" i="223"/>
  <c r="J39" i="223"/>
  <c r="N39" i="223" s="1"/>
  <c r="B83" i="204"/>
  <c r="E83" i="204"/>
  <c r="H40" i="223"/>
  <c r="A87" i="203"/>
  <c r="J23" i="139"/>
  <c r="D43" i="193"/>
  <c r="I17" i="193"/>
  <c r="I19" i="193" s="1"/>
  <c r="I26" i="193" s="1"/>
  <c r="I27" i="193" s="1"/>
  <c r="H17" i="193"/>
  <c r="H19" i="193" s="1"/>
  <c r="H26" i="193" s="1"/>
  <c r="H27" i="193" s="1"/>
  <c r="B113" i="215" l="1"/>
  <c r="F113" i="215"/>
  <c r="R39" i="223"/>
  <c r="B86" i="204"/>
  <c r="B87" i="204" s="1"/>
  <c r="I112" i="215"/>
  <c r="F41" i="223"/>
  <c r="J40" i="223"/>
  <c r="N40" i="223" s="1"/>
  <c r="B88" i="203"/>
  <c r="E226" i="86"/>
  <c r="A88" i="203"/>
  <c r="F17" i="193"/>
  <c r="F19" i="193" s="1"/>
  <c r="E17" i="193"/>
  <c r="F26" i="193" l="1"/>
  <c r="J41" i="223"/>
  <c r="N41" i="223" s="1"/>
  <c r="H42" i="223" s="1"/>
  <c r="F42" i="223"/>
  <c r="R40" i="223"/>
  <c r="H113" i="215"/>
  <c r="D114" i="215"/>
  <c r="G113" i="215"/>
  <c r="B88" i="204"/>
  <c r="B89" i="204" s="1"/>
  <c r="B90" i="204" s="1"/>
  <c r="B91" i="204" s="1"/>
  <c r="B92" i="204" s="1"/>
  <c r="E19" i="193"/>
  <c r="I113" i="215" l="1"/>
  <c r="K24" i="139"/>
  <c r="F27" i="193"/>
  <c r="H43" i="223"/>
  <c r="B114" i="215"/>
  <c r="F43" i="223"/>
  <c r="J42" i="223"/>
  <c r="N42" i="223" s="1"/>
  <c r="R42" i="223" s="1"/>
  <c r="B94" i="204"/>
  <c r="B96" i="204" s="1"/>
  <c r="B98" i="204" s="1"/>
  <c r="B100" i="204" s="1"/>
  <c r="B101" i="204" s="1"/>
  <c r="R41" i="223"/>
  <c r="H44" i="223"/>
  <c r="E92" i="204"/>
  <c r="E114" i="215"/>
  <c r="F114" i="215" s="1"/>
  <c r="E26" i="193"/>
  <c r="B6" i="193"/>
  <c r="B3" i="193"/>
  <c r="J24" i="139" l="1"/>
  <c r="D115" i="215"/>
  <c r="G114" i="215"/>
  <c r="E115" i="215"/>
  <c r="H114" i="215"/>
  <c r="B102" i="204"/>
  <c r="B103" i="204" s="1"/>
  <c r="B104" i="204" s="1"/>
  <c r="B105" i="204" s="1"/>
  <c r="B106" i="204" s="1"/>
  <c r="B107" i="204" s="1"/>
  <c r="B108" i="204" s="1"/>
  <c r="B109" i="204" s="1"/>
  <c r="B111" i="204" s="1"/>
  <c r="B113" i="204" s="1"/>
  <c r="J43" i="223"/>
  <c r="N43" i="223" s="1"/>
  <c r="R43" i="223" s="1"/>
  <c r="F44" i="223"/>
  <c r="E27" i="193"/>
  <c r="J44" i="223" l="1"/>
  <c r="N44" i="223" s="1"/>
  <c r="R44" i="223" s="1"/>
  <c r="F48" i="223"/>
  <c r="E109" i="204"/>
  <c r="I114" i="215"/>
  <c r="C23" i="216"/>
  <c r="S21" i="216" s="1"/>
  <c r="C23" i="215"/>
  <c r="Q20" i="215" s="1"/>
  <c r="B128" i="204"/>
  <c r="D113" i="204"/>
  <c r="H50" i="223"/>
  <c r="H48" i="223"/>
  <c r="H49" i="223"/>
  <c r="B115" i="215"/>
  <c r="F115" i="215"/>
  <c r="D116" i="215" l="1"/>
  <c r="E116" i="215" s="1"/>
  <c r="G115" i="215"/>
  <c r="H115" i="215"/>
  <c r="B129" i="204"/>
  <c r="J48" i="223"/>
  <c r="N48" i="223" s="1"/>
  <c r="F49" i="223"/>
  <c r="F50" i="223" s="1"/>
  <c r="F51" i="223" s="1"/>
  <c r="F52" i="223" s="1"/>
  <c r="F53" i="223" s="1"/>
  <c r="F54" i="223" s="1"/>
  <c r="F55" i="223" s="1"/>
  <c r="F56" i="223" s="1"/>
  <c r="F57" i="223" s="1"/>
  <c r="F58" i="223" s="1"/>
  <c r="F59" i="223" s="1"/>
  <c r="P59" i="223"/>
  <c r="P58" i="223"/>
  <c r="P57" i="223"/>
  <c r="P56" i="223"/>
  <c r="P55" i="223"/>
  <c r="P54" i="223"/>
  <c r="P53" i="223"/>
  <c r="P51" i="223"/>
  <c r="P49" i="223"/>
  <c r="P52" i="223"/>
  <c r="P50" i="223"/>
  <c r="P48" i="223"/>
  <c r="A16" i="193"/>
  <c r="A17" i="193" s="1"/>
  <c r="C47" i="193" s="1"/>
  <c r="P62" i="223" l="1"/>
  <c r="P64" i="223" s="1"/>
  <c r="R48" i="223"/>
  <c r="J49" i="223" s="1"/>
  <c r="N49" i="223" s="1"/>
  <c r="R49" i="223" s="1"/>
  <c r="J50" i="223" s="1"/>
  <c r="N50" i="223" s="1"/>
  <c r="R50" i="223" s="1"/>
  <c r="J51" i="223" s="1"/>
  <c r="N51" i="223" s="1"/>
  <c r="R51" i="223" s="1"/>
  <c r="J52" i="223" s="1"/>
  <c r="N52" i="223" s="1"/>
  <c r="R52" i="223" s="1"/>
  <c r="J53" i="223" s="1"/>
  <c r="N53" i="223" s="1"/>
  <c r="R53" i="223" s="1"/>
  <c r="J54" i="223" s="1"/>
  <c r="N54" i="223" s="1"/>
  <c r="R54" i="223" s="1"/>
  <c r="J55" i="223" s="1"/>
  <c r="N55" i="223" s="1"/>
  <c r="R55" i="223" s="1"/>
  <c r="J56" i="223" s="1"/>
  <c r="N56" i="223" s="1"/>
  <c r="R56" i="223" s="1"/>
  <c r="J57" i="223" s="1"/>
  <c r="N57" i="223" s="1"/>
  <c r="R57" i="223" s="1"/>
  <c r="J58" i="223" s="1"/>
  <c r="N58" i="223" s="1"/>
  <c r="R58" i="223" s="1"/>
  <c r="J59" i="223" s="1"/>
  <c r="N59" i="223" s="1"/>
  <c r="R59" i="223" s="1"/>
  <c r="D296" i="204"/>
  <c r="B130" i="204"/>
  <c r="I115" i="215"/>
  <c r="F116" i="215"/>
  <c r="B116" i="215"/>
  <c r="A18" i="193"/>
  <c r="A19" i="193" s="1"/>
  <c r="C17" i="193"/>
  <c r="H53" i="223" l="1"/>
  <c r="H51" i="223"/>
  <c r="H52" i="223"/>
  <c r="B131" i="204"/>
  <c r="B132" i="204" s="1"/>
  <c r="B133" i="204" s="1"/>
  <c r="B134" i="204" s="1"/>
  <c r="H56" i="223"/>
  <c r="H55" i="223"/>
  <c r="H54" i="223"/>
  <c r="H116" i="215"/>
  <c r="D117" i="215"/>
  <c r="G116" i="215"/>
  <c r="F219" i="86"/>
  <c r="A21" i="193"/>
  <c r="A22" i="193" s="1"/>
  <c r="A23" i="193" s="1"/>
  <c r="C22" i="193"/>
  <c r="C26" i="193"/>
  <c r="C19" i="193"/>
  <c r="E134" i="204" l="1"/>
  <c r="I116" i="215"/>
  <c r="B117" i="215"/>
  <c r="B136" i="204"/>
  <c r="E101" i="204"/>
  <c r="D290" i="204"/>
  <c r="H59" i="223"/>
  <c r="H58" i="223"/>
  <c r="H57" i="223"/>
  <c r="E117" i="215"/>
  <c r="F117" i="215" s="1"/>
  <c r="A25" i="193"/>
  <c r="A26" i="193" s="1"/>
  <c r="B15" i="190"/>
  <c r="B14" i="190"/>
  <c r="B13" i="190"/>
  <c r="D118" i="215" l="1"/>
  <c r="H117" i="215"/>
  <c r="G117" i="215"/>
  <c r="B137" i="204"/>
  <c r="A27" i="193"/>
  <c r="A32" i="193" s="1"/>
  <c r="A33" i="193" s="1"/>
  <c r="C48" i="193" s="1"/>
  <c r="C27" i="193"/>
  <c r="C23" i="193"/>
  <c r="B12" i="190"/>
  <c r="B16" i="190"/>
  <c r="E131" i="86" s="1"/>
  <c r="B11" i="190"/>
  <c r="B18" i="190"/>
  <c r="K41" i="190"/>
  <c r="N41" i="190" s="1"/>
  <c r="K42" i="190"/>
  <c r="K43" i="190"/>
  <c r="N43" i="190" s="1"/>
  <c r="K44" i="190"/>
  <c r="N44" i="190" s="1"/>
  <c r="K40" i="190"/>
  <c r="N40" i="190" s="1"/>
  <c r="E143" i="204" l="1"/>
  <c r="B138" i="204"/>
  <c r="B139" i="204" s="1"/>
  <c r="B140" i="204" s="1"/>
  <c r="B141" i="204" s="1"/>
  <c r="B142" i="204" s="1"/>
  <c r="I117" i="215"/>
  <c r="B118" i="215"/>
  <c r="E118" i="215"/>
  <c r="F118" i="215" s="1"/>
  <c r="B21" i="190"/>
  <c r="B22" i="190"/>
  <c r="B20" i="190"/>
  <c r="A34" i="193"/>
  <c r="B19" i="190"/>
  <c r="B23" i="190"/>
  <c r="E133" i="86" s="1"/>
  <c r="I8" i="190"/>
  <c r="I39" i="190"/>
  <c r="J39" i="190"/>
  <c r="K45" i="190"/>
  <c r="G96" i="86" s="1"/>
  <c r="J45" i="190"/>
  <c r="I45" i="190"/>
  <c r="H118" i="215" l="1"/>
  <c r="D119" i="215"/>
  <c r="G118" i="215"/>
  <c r="E119" i="215"/>
  <c r="B143" i="204"/>
  <c r="B144" i="204" s="1"/>
  <c r="B145" i="204" s="1"/>
  <c r="B146" i="204" s="1"/>
  <c r="B147" i="204" s="1"/>
  <c r="B148" i="204" s="1"/>
  <c r="E142" i="204"/>
  <c r="B25" i="190"/>
  <c r="B26" i="190" s="1"/>
  <c r="A35" i="193"/>
  <c r="A37" i="193" s="1"/>
  <c r="C38" i="193"/>
  <c r="C35" i="193"/>
  <c r="B28" i="190"/>
  <c r="E141" i="86" s="1"/>
  <c r="E148" i="204" l="1"/>
  <c r="B150" i="204"/>
  <c r="E150" i="204"/>
  <c r="F119" i="215"/>
  <c r="B119" i="215"/>
  <c r="I118" i="215"/>
  <c r="B27" i="190"/>
  <c r="B30" i="190"/>
  <c r="B31" i="190" s="1"/>
  <c r="A38" i="193"/>
  <c r="A39" i="193" s="1"/>
  <c r="A41" i="193" s="1"/>
  <c r="C42" i="193"/>
  <c r="H119" i="215" l="1"/>
  <c r="D120" i="215"/>
  <c r="G119" i="215"/>
  <c r="E120" i="215"/>
  <c r="B152" i="204"/>
  <c r="B153" i="204" s="1"/>
  <c r="B32" i="190"/>
  <c r="B33" i="190"/>
  <c r="E147" i="86" s="1"/>
  <c r="C39" i="193"/>
  <c r="A42" i="193"/>
  <c r="A43" i="193" s="1"/>
  <c r="A47" i="193" s="1"/>
  <c r="B42" i="190"/>
  <c r="B44" i="190"/>
  <c r="A5" i="190"/>
  <c r="A2" i="190"/>
  <c r="I33" i="190"/>
  <c r="G147" i="86" s="1"/>
  <c r="I28" i="190"/>
  <c r="G141" i="86" s="1"/>
  <c r="I23" i="190"/>
  <c r="G133" i="86" s="1"/>
  <c r="I16" i="190"/>
  <c r="G131" i="86" s="1"/>
  <c r="B43" i="190" l="1"/>
  <c r="B39" i="190"/>
  <c r="B45" i="190" s="1"/>
  <c r="E96" i="86" s="1"/>
  <c r="B40" i="190"/>
  <c r="C55" i="216"/>
  <c r="S30" i="216" s="1"/>
  <c r="C82" i="215"/>
  <c r="Q34" i="215" s="1"/>
  <c r="C82" i="216"/>
  <c r="S35" i="216" s="1"/>
  <c r="C55" i="215"/>
  <c r="Q29" i="215" s="1"/>
  <c r="E30" i="204"/>
  <c r="B154" i="204"/>
  <c r="B155" i="204" s="1"/>
  <c r="B156" i="204" s="1"/>
  <c r="B120" i="215"/>
  <c r="F120" i="215"/>
  <c r="I119" i="215"/>
  <c r="B41" i="190"/>
  <c r="A48" i="193"/>
  <c r="A49" i="193" s="1"/>
  <c r="E174" i="86" s="1"/>
  <c r="C43" i="193"/>
  <c r="H53" i="186"/>
  <c r="G53" i="186"/>
  <c r="I48" i="186"/>
  <c r="H48" i="186"/>
  <c r="G48" i="186"/>
  <c r="E156" i="204" l="1"/>
  <c r="H120" i="215"/>
  <c r="G120" i="215"/>
  <c r="D121" i="215"/>
  <c r="E121" i="215" s="1"/>
  <c r="B158" i="204"/>
  <c r="B159" i="204" s="1"/>
  <c r="B160" i="204" s="1"/>
  <c r="C49" i="193"/>
  <c r="H28" i="90"/>
  <c r="I53" i="186"/>
  <c r="G94" i="86" s="1"/>
  <c r="L94" i="86" s="1"/>
  <c r="B161" i="204" l="1"/>
  <c r="B162" i="204" s="1"/>
  <c r="B163" i="204" s="1"/>
  <c r="B164" i="204" s="1"/>
  <c r="B165" i="204" s="1"/>
  <c r="B121" i="215"/>
  <c r="F121" i="215"/>
  <c r="I120" i="215"/>
  <c r="G16" i="189"/>
  <c r="F16" i="189"/>
  <c r="H15" i="189"/>
  <c r="H14" i="189"/>
  <c r="H13" i="189"/>
  <c r="H12" i="189"/>
  <c r="H11" i="189"/>
  <c r="G9" i="189"/>
  <c r="F9" i="189"/>
  <c r="H8" i="189"/>
  <c r="A5" i="189"/>
  <c r="A3" i="189"/>
  <c r="A2" i="189"/>
  <c r="G74" i="86"/>
  <c r="G73" i="86"/>
  <c r="G72" i="86"/>
  <c r="G71" i="86"/>
  <c r="G70" i="86"/>
  <c r="G69" i="86"/>
  <c r="G67" i="86"/>
  <c r="G66" i="86"/>
  <c r="A12" i="188"/>
  <c r="A13" i="188" s="1"/>
  <c r="A14" i="188" s="1"/>
  <c r="A15" i="188" s="1"/>
  <c r="A16" i="188" s="1"/>
  <c r="A17" i="188" s="1"/>
  <c r="A18" i="188" s="1"/>
  <c r="A19" i="188" s="1"/>
  <c r="A20" i="188" s="1"/>
  <c r="A21" i="188" s="1"/>
  <c r="A22" i="188" s="1"/>
  <c r="A23" i="188" s="1"/>
  <c r="A24" i="188" s="1"/>
  <c r="A5" i="188"/>
  <c r="A3" i="188"/>
  <c r="A2" i="188"/>
  <c r="G62" i="86"/>
  <c r="G61" i="86"/>
  <c r="G60" i="86"/>
  <c r="G59" i="86"/>
  <c r="G58" i="86"/>
  <c r="G57" i="86"/>
  <c r="G56" i="86" l="1"/>
  <c r="F81" i="129"/>
  <c r="F81" i="143"/>
  <c r="B167" i="204"/>
  <c r="B168" i="204" s="1"/>
  <c r="H121" i="215"/>
  <c r="D122" i="215"/>
  <c r="G121" i="215"/>
  <c r="E122" i="215"/>
  <c r="E165" i="204"/>
  <c r="G68" i="86"/>
  <c r="E71" i="86"/>
  <c r="E70" i="86"/>
  <c r="A31" i="188"/>
  <c r="A32" i="188" s="1"/>
  <c r="A33" i="188" s="1"/>
  <c r="A34" i="188" s="1"/>
  <c r="A35" i="188" s="1"/>
  <c r="A36" i="188" s="1"/>
  <c r="A37" i="188" s="1"/>
  <c r="A38" i="188" s="1"/>
  <c r="A39" i="188" s="1"/>
  <c r="A40" i="188" s="1"/>
  <c r="A41" i="188" s="1"/>
  <c r="A42" i="188" s="1"/>
  <c r="A43" i="188" s="1"/>
  <c r="A44" i="188" s="1"/>
  <c r="E69" i="86"/>
  <c r="H16" i="189"/>
  <c r="G98" i="86" s="1"/>
  <c r="A5" i="39"/>
  <c r="A5" i="186"/>
  <c r="A3" i="186"/>
  <c r="A2" i="186"/>
  <c r="L208" i="86"/>
  <c r="G55" i="86"/>
  <c r="G54" i="86"/>
  <c r="A12" i="186"/>
  <c r="A13" i="186" s="1"/>
  <c r="A14" i="186" s="1"/>
  <c r="A15" i="186" s="1"/>
  <c r="A16" i="186" s="1"/>
  <c r="A17" i="186" s="1"/>
  <c r="A18" i="186" s="1"/>
  <c r="A19" i="186" s="1"/>
  <c r="A20" i="186" s="1"/>
  <c r="A21" i="186" s="1"/>
  <c r="A22" i="186" s="1"/>
  <c r="A23" i="186" s="1"/>
  <c r="A24" i="186" s="1"/>
  <c r="K29" i="96"/>
  <c r="M29" i="96"/>
  <c r="L28" i="96"/>
  <c r="L27" i="96"/>
  <c r="L40" i="179"/>
  <c r="L39" i="179"/>
  <c r="L38" i="179"/>
  <c r="L37" i="179"/>
  <c r="L36" i="179"/>
  <c r="L35" i="179"/>
  <c r="L32" i="179"/>
  <c r="L31" i="179"/>
  <c r="L30" i="179"/>
  <c r="L29" i="179"/>
  <c r="L28" i="179"/>
  <c r="L27" i="179"/>
  <c r="L26" i="179"/>
  <c r="L25" i="179"/>
  <c r="L24" i="179"/>
  <c r="L23" i="179"/>
  <c r="L22" i="179"/>
  <c r="L21" i="179"/>
  <c r="L44" i="178"/>
  <c r="L43" i="178"/>
  <c r="L42" i="178"/>
  <c r="L41" i="178"/>
  <c r="L40" i="178"/>
  <c r="L39" i="178"/>
  <c r="L38" i="178"/>
  <c r="L37" i="178"/>
  <c r="L36" i="178"/>
  <c r="L35" i="178"/>
  <c r="L34" i="178"/>
  <c r="L33" i="178"/>
  <c r="L30" i="178"/>
  <c r="L29" i="178"/>
  <c r="L28" i="178"/>
  <c r="L27" i="178"/>
  <c r="L26" i="178"/>
  <c r="L25" i="178"/>
  <c r="L24" i="178"/>
  <c r="L23" i="178"/>
  <c r="L22" i="178"/>
  <c r="L21" i="178"/>
  <c r="L20" i="178"/>
  <c r="L19" i="178"/>
  <c r="A8" i="180"/>
  <c r="C81" i="143" l="1"/>
  <c r="C81" i="129"/>
  <c r="F122" i="215"/>
  <c r="B122" i="215"/>
  <c r="I121" i="215"/>
  <c r="C30" i="216"/>
  <c r="S22" i="216" s="1"/>
  <c r="C30" i="215"/>
  <c r="Q21" i="215" s="1"/>
  <c r="D316" i="204"/>
  <c r="B169" i="204"/>
  <c r="D172" i="204"/>
  <c r="A46" i="188"/>
  <c r="E68" i="86" s="1"/>
  <c r="E74" i="86"/>
  <c r="E73" i="86"/>
  <c r="E72" i="86"/>
  <c r="B46" i="188"/>
  <c r="E66" i="86"/>
  <c r="E59" i="86"/>
  <c r="E58" i="86"/>
  <c r="E57" i="86"/>
  <c r="E55" i="86"/>
  <c r="E54" i="86"/>
  <c r="E67" i="86"/>
  <c r="A31" i="186"/>
  <c r="B5" i="196"/>
  <c r="A3" i="203"/>
  <c r="B4" i="193"/>
  <c r="A3" i="190"/>
  <c r="B5" i="179"/>
  <c r="A3" i="89"/>
  <c r="A3" i="129"/>
  <c r="A3" i="94"/>
  <c r="A3" i="146"/>
  <c r="A3" i="143"/>
  <c r="A3" i="39"/>
  <c r="B5" i="178"/>
  <c r="A3" i="74"/>
  <c r="M3" i="74" s="1"/>
  <c r="A4" i="96"/>
  <c r="A3" i="78"/>
  <c r="A6" i="180"/>
  <c r="A3" i="52"/>
  <c r="A3" i="91"/>
  <c r="E39" i="180"/>
  <c r="A25" i="180"/>
  <c r="A26" i="180" s="1"/>
  <c r="A27" i="180" s="1"/>
  <c r="A28" i="180" s="1"/>
  <c r="A29" i="180" s="1"/>
  <c r="A30" i="180" s="1"/>
  <c r="A31" i="180" s="1"/>
  <c r="A32" i="180" s="1"/>
  <c r="A33" i="180" s="1"/>
  <c r="A34" i="180" s="1"/>
  <c r="A35" i="180" s="1"/>
  <c r="A36" i="180" s="1"/>
  <c r="A39" i="180" s="1"/>
  <c r="B7" i="179"/>
  <c r="B7" i="178"/>
  <c r="B32" i="179"/>
  <c r="B31" i="179"/>
  <c r="B30" i="179"/>
  <c r="B29" i="179"/>
  <c r="B28" i="179"/>
  <c r="B27" i="179"/>
  <c r="B26" i="179"/>
  <c r="B25" i="179"/>
  <c r="B24" i="179"/>
  <c r="B23" i="179"/>
  <c r="B22" i="179"/>
  <c r="J21" i="179"/>
  <c r="N21" i="179" s="1"/>
  <c r="B21" i="179"/>
  <c r="J12" i="179"/>
  <c r="B39" i="179" s="1"/>
  <c r="B30" i="178"/>
  <c r="C24" i="180" s="1"/>
  <c r="B29" i="178"/>
  <c r="C23" i="180" s="1"/>
  <c r="B28" i="178"/>
  <c r="C22" i="180" s="1"/>
  <c r="B27" i="178"/>
  <c r="C21" i="180" s="1"/>
  <c r="B26" i="178"/>
  <c r="C20" i="180" s="1"/>
  <c r="B25" i="178"/>
  <c r="C19" i="180" s="1"/>
  <c r="B24" i="178"/>
  <c r="C18" i="180" s="1"/>
  <c r="B23" i="178"/>
  <c r="C17" i="180" s="1"/>
  <c r="B22" i="178"/>
  <c r="C16" i="180" s="1"/>
  <c r="B21" i="178"/>
  <c r="C15" i="180" s="1"/>
  <c r="B20" i="178"/>
  <c r="C14" i="180" s="1"/>
  <c r="J19" i="178"/>
  <c r="N19" i="178" s="1"/>
  <c r="B19" i="178"/>
  <c r="C13" i="180" s="1"/>
  <c r="J10" i="178"/>
  <c r="B9" i="178" s="1"/>
  <c r="B170" i="204" l="1"/>
  <c r="B171" i="204" s="1"/>
  <c r="B172" i="204" s="1"/>
  <c r="D123" i="215"/>
  <c r="G122" i="215"/>
  <c r="E123" i="215"/>
  <c r="H122" i="215"/>
  <c r="B11" i="179"/>
  <c r="B43" i="178"/>
  <c r="C35" i="180" s="1"/>
  <c r="B39" i="178"/>
  <c r="C31" i="180" s="1"/>
  <c r="B36" i="179"/>
  <c r="J13" i="179"/>
  <c r="B35" i="178"/>
  <c r="C27" i="180" s="1"/>
  <c r="L59" i="178"/>
  <c r="L55" i="178"/>
  <c r="L51" i="178"/>
  <c r="L54" i="178"/>
  <c r="L50" i="178"/>
  <c r="L53" i="178"/>
  <c r="L56" i="178"/>
  <c r="L58" i="178"/>
  <c r="L48" i="178"/>
  <c r="L57" i="178"/>
  <c r="L49" i="178"/>
  <c r="L52" i="178"/>
  <c r="A32" i="186"/>
  <c r="A33" i="186" s="1"/>
  <c r="A34" i="186" s="1"/>
  <c r="A35" i="186" s="1"/>
  <c r="A36" i="186" s="1"/>
  <c r="A37" i="186" s="1"/>
  <c r="A38" i="186" s="1"/>
  <c r="A39" i="186" s="1"/>
  <c r="A40" i="186" s="1"/>
  <c r="A41" i="186" s="1"/>
  <c r="A42" i="186" s="1"/>
  <c r="A43" i="186" s="1"/>
  <c r="A44" i="186" s="1"/>
  <c r="B40" i="179"/>
  <c r="B39" i="180"/>
  <c r="B38" i="179"/>
  <c r="B37" i="179"/>
  <c r="B35" i="179"/>
  <c r="B41" i="178"/>
  <c r="C33" i="180" s="1"/>
  <c r="B37" i="178"/>
  <c r="C29" i="180" s="1"/>
  <c r="B33" i="178"/>
  <c r="C25" i="180" s="1"/>
  <c r="B42" i="178"/>
  <c r="C34" i="180" s="1"/>
  <c r="B38" i="178"/>
  <c r="C30" i="180" s="1"/>
  <c r="B34" i="178"/>
  <c r="C26" i="180" s="1"/>
  <c r="J11" i="178"/>
  <c r="B36" i="178"/>
  <c r="C28" i="180" s="1"/>
  <c r="B40" i="178"/>
  <c r="C32" i="180" s="1"/>
  <c r="B44" i="178"/>
  <c r="C36" i="180" s="1"/>
  <c r="D208" i="86" l="1"/>
  <c r="D207" i="86"/>
  <c r="I122" i="215"/>
  <c r="B123" i="215"/>
  <c r="F123" i="215"/>
  <c r="B173" i="204"/>
  <c r="B174" i="204" s="1"/>
  <c r="B175" i="204" s="1"/>
  <c r="B177" i="204" s="1"/>
  <c r="E178" i="204"/>
  <c r="E61" i="86"/>
  <c r="E60" i="86"/>
  <c r="E62" i="86"/>
  <c r="A52" i="186"/>
  <c r="A51" i="186"/>
  <c r="A50" i="186"/>
  <c r="A53" i="186"/>
  <c r="E94" i="86" s="1"/>
  <c r="B59" i="178"/>
  <c r="B58" i="178"/>
  <c r="B57" i="178"/>
  <c r="B56" i="178"/>
  <c r="B55" i="178"/>
  <c r="B54" i="178"/>
  <c r="B53" i="178"/>
  <c r="B52" i="178"/>
  <c r="B51" i="178"/>
  <c r="B50" i="178"/>
  <c r="B49" i="178"/>
  <c r="B48" i="178"/>
  <c r="E180" i="204" l="1"/>
  <c r="E179" i="204"/>
  <c r="B178" i="204"/>
  <c r="D124" i="215"/>
  <c r="E124" i="215" s="1"/>
  <c r="G123" i="215"/>
  <c r="H123" i="215"/>
  <c r="I123" i="215" s="1"/>
  <c r="F124" i="215" l="1"/>
  <c r="B124" i="215"/>
  <c r="C33" i="215"/>
  <c r="Q22" i="215" s="1"/>
  <c r="C33" i="216"/>
  <c r="S23" i="216" s="1"/>
  <c r="B179" i="204"/>
  <c r="C34" i="216" l="1"/>
  <c r="S24" i="216" s="1"/>
  <c r="C34" i="215"/>
  <c r="Q23" i="215" s="1"/>
  <c r="B180" i="204"/>
  <c r="H124" i="215"/>
  <c r="D125" i="215"/>
  <c r="E125" i="215" s="1"/>
  <c r="G124" i="215"/>
  <c r="I124" i="215" l="1"/>
  <c r="C35" i="216"/>
  <c r="S25" i="216" s="1"/>
  <c r="C35" i="215"/>
  <c r="Q24" i="215" s="1"/>
  <c r="B182" i="204"/>
  <c r="E182" i="204"/>
  <c r="F125" i="215"/>
  <c r="B125" i="215"/>
  <c r="D126" i="215" l="1"/>
  <c r="H125" i="215"/>
  <c r="G125" i="215"/>
  <c r="C44" i="216"/>
  <c r="S28" i="216" s="1"/>
  <c r="C44" i="215"/>
  <c r="Q27" i="215" s="1"/>
  <c r="B184" i="204"/>
  <c r="E33" i="204"/>
  <c r="I125" i="215" l="1"/>
  <c r="B126" i="215"/>
  <c r="C43" i="216"/>
  <c r="S27" i="216" s="1"/>
  <c r="C43" i="215"/>
  <c r="Q26" i="215" s="1"/>
  <c r="B186" i="204"/>
  <c r="E177" i="204"/>
  <c r="D189" i="204"/>
  <c r="E126" i="215"/>
  <c r="F126" i="215" s="1"/>
  <c r="D294" i="204" l="1"/>
  <c r="B188" i="204"/>
  <c r="H126" i="215"/>
  <c r="D127" i="215"/>
  <c r="E127" i="215" s="1"/>
  <c r="G126" i="215"/>
  <c r="F127" i="215" l="1"/>
  <c r="B127" i="215"/>
  <c r="I126" i="215"/>
  <c r="B189" i="204"/>
  <c r="B191" i="204" s="1"/>
  <c r="B38" i="220" l="1"/>
  <c r="C45" i="215"/>
  <c r="Q28" i="215" s="1"/>
  <c r="C45" i="216"/>
  <c r="S29" i="216" s="1"/>
  <c r="B193" i="204"/>
  <c r="E193" i="204"/>
  <c r="H127" i="215"/>
  <c r="D128" i="215"/>
  <c r="G127" i="215"/>
  <c r="E128" i="215"/>
  <c r="B128" i="215" l="1"/>
  <c r="F128" i="215"/>
  <c r="C42" i="216"/>
  <c r="S26" i="216" s="1"/>
  <c r="C42" i="215"/>
  <c r="Q25" i="215" s="1"/>
  <c r="E12" i="204"/>
  <c r="B206" i="204"/>
  <c r="I127" i="215"/>
  <c r="B207" i="204" l="1"/>
  <c r="B208" i="204" s="1"/>
  <c r="B209" i="204" s="1"/>
  <c r="H128" i="215"/>
  <c r="G128" i="215"/>
  <c r="D129" i="215"/>
  <c r="E129" i="215" s="1"/>
  <c r="B129" i="215" l="1"/>
  <c r="F129" i="215"/>
  <c r="E211" i="204"/>
  <c r="B211" i="204"/>
  <c r="B213" i="204" s="1"/>
  <c r="B214" i="204" s="1"/>
  <c r="E56" i="204"/>
  <c r="I128" i="215"/>
  <c r="E209" i="204"/>
  <c r="H129" i="215" l="1"/>
  <c r="D130" i="215"/>
  <c r="G129" i="215"/>
  <c r="E130" i="215"/>
  <c r="B215" i="204"/>
  <c r="B216" i="204" s="1"/>
  <c r="B217" i="204" s="1"/>
  <c r="B218" i="204" s="1"/>
  <c r="B219" i="204" s="1"/>
  <c r="B221" i="204" s="1"/>
  <c r="B224" i="204" s="1"/>
  <c r="B225" i="204" s="1"/>
  <c r="E219" i="204" l="1"/>
  <c r="B226" i="204"/>
  <c r="F130" i="215"/>
  <c r="B130" i="215"/>
  <c r="I129" i="215"/>
  <c r="B227" i="204" l="1"/>
  <c r="B228" i="204" s="1"/>
  <c r="D131" i="215"/>
  <c r="E131" i="215" s="1"/>
  <c r="G130" i="215"/>
  <c r="H130" i="215"/>
  <c r="B229" i="204"/>
  <c r="B230" i="204" s="1"/>
  <c r="B231" i="204" s="1"/>
  <c r="B232" i="204" s="1"/>
  <c r="D237" i="204" s="1"/>
  <c r="I130" i="215" l="1"/>
  <c r="B234" i="204"/>
  <c r="B235" i="204" s="1"/>
  <c r="E232" i="204"/>
  <c r="B131" i="215"/>
  <c r="F131" i="215"/>
  <c r="D132" i="215" l="1"/>
  <c r="G131" i="215"/>
  <c r="H131" i="215"/>
  <c r="I131" i="215" s="1"/>
  <c r="E132" i="215"/>
  <c r="B236" i="204"/>
  <c r="B237" i="204" l="1"/>
  <c r="D332" i="204" s="1"/>
  <c r="D229" i="204"/>
  <c r="F132" i="215"/>
  <c r="B132" i="215"/>
  <c r="H132" i="215" l="1"/>
  <c r="D133" i="215"/>
  <c r="G132" i="215"/>
  <c r="E133" i="215"/>
  <c r="C11" i="216"/>
  <c r="S14" i="216" s="1"/>
  <c r="C11" i="215"/>
  <c r="Q13" i="215" s="1"/>
  <c r="B238" i="204"/>
  <c r="B241" i="204" s="1"/>
  <c r="B242" i="204" s="1"/>
  <c r="B243" i="204" s="1"/>
  <c r="B244" i="204" s="1"/>
  <c r="B245" i="204" s="1"/>
  <c r="D238" i="204"/>
  <c r="C14" i="215"/>
  <c r="C14" i="216"/>
  <c r="B246" i="204" l="1"/>
  <c r="B247" i="204" s="1"/>
  <c r="B248" i="204" s="1"/>
  <c r="B249" i="204" s="1"/>
  <c r="E249" i="204"/>
  <c r="F133" i="215"/>
  <c r="B133" i="215"/>
  <c r="B79" i="222"/>
  <c r="E184" i="204"/>
  <c r="D170" i="204"/>
  <c r="I132" i="215"/>
  <c r="D254" i="204" l="1"/>
  <c r="B251" i="204"/>
  <c r="B252" i="204" s="1"/>
  <c r="D134" i="215"/>
  <c r="H133" i="215"/>
  <c r="G133" i="215"/>
  <c r="B253" i="204" l="1"/>
  <c r="B134" i="215"/>
  <c r="I133" i="215"/>
  <c r="E134" i="215"/>
  <c r="F134" i="215" s="1"/>
  <c r="D246" i="204" l="1"/>
  <c r="B254" i="204"/>
  <c r="H134" i="215"/>
  <c r="D135" i="215"/>
  <c r="E135" i="215" s="1"/>
  <c r="G134" i="215"/>
  <c r="B255" i="204" l="1"/>
  <c r="D255" i="204"/>
  <c r="F135" i="215"/>
  <c r="B135" i="215"/>
  <c r="I134" i="215"/>
  <c r="A12" i="189"/>
  <c r="A13" i="189" s="1"/>
  <c r="A14" i="189" s="1"/>
  <c r="A15" i="189" s="1"/>
  <c r="A16" i="189" s="1"/>
  <c r="E98" i="86" s="1"/>
  <c r="H135" i="215" l="1"/>
  <c r="D136" i="215"/>
  <c r="G135" i="215"/>
  <c r="E136" i="215"/>
  <c r="B136" i="215" l="1"/>
  <c r="F136" i="215"/>
  <c r="I135" i="215"/>
  <c r="H136" i="215" l="1"/>
  <c r="G136" i="215"/>
  <c r="D137" i="215"/>
  <c r="E137" i="215"/>
  <c r="B137" i="215" l="1"/>
  <c r="F137" i="215"/>
  <c r="I136" i="215"/>
  <c r="H137" i="215" l="1"/>
  <c r="D138" i="215"/>
  <c r="G137" i="215"/>
  <c r="E138" i="215"/>
  <c r="L92" i="129"/>
  <c r="D50" i="39"/>
  <c r="G140" i="86" s="1"/>
  <c r="E41" i="39"/>
  <c r="M46" i="96"/>
  <c r="L20" i="96"/>
  <c r="L19" i="96"/>
  <c r="L18" i="96"/>
  <c r="L14" i="96"/>
  <c r="L12" i="96"/>
  <c r="G82" i="86"/>
  <c r="L59" i="86"/>
  <c r="L216" i="86"/>
  <c r="P34" i="143"/>
  <c r="G25" i="147"/>
  <c r="G24" i="147"/>
  <c r="M26" i="147"/>
  <c r="N27" i="139"/>
  <c r="M27" i="139"/>
  <c r="L27" i="139"/>
  <c r="K27" i="139"/>
  <c r="J27" i="139"/>
  <c r="N26" i="139"/>
  <c r="M26" i="139"/>
  <c r="L26" i="139"/>
  <c r="K26" i="139"/>
  <c r="J26" i="139"/>
  <c r="H28" i="139"/>
  <c r="H11" i="145" s="1"/>
  <c r="N35" i="90"/>
  <c r="M35" i="90"/>
  <c r="L35" i="90"/>
  <c r="H62" i="139"/>
  <c r="D44" i="89" s="1"/>
  <c r="N38" i="139"/>
  <c r="M38" i="139"/>
  <c r="L38" i="139"/>
  <c r="K38" i="139"/>
  <c r="J38" i="139"/>
  <c r="N37" i="139"/>
  <c r="M37" i="139"/>
  <c r="L37" i="139"/>
  <c r="K37" i="139"/>
  <c r="J37" i="139"/>
  <c r="N35" i="139"/>
  <c r="M35" i="139"/>
  <c r="L35" i="139"/>
  <c r="M24" i="78"/>
  <c r="B16" i="147"/>
  <c r="B18" i="147" s="1"/>
  <c r="B20" i="147" s="1"/>
  <c r="B22" i="147" s="1"/>
  <c r="B23" i="147" s="1"/>
  <c r="B24" i="147" s="1"/>
  <c r="B25" i="147" s="1"/>
  <c r="B26" i="147" s="1"/>
  <c r="M16" i="78"/>
  <c r="N12" i="90"/>
  <c r="M12" i="90"/>
  <c r="L12" i="90"/>
  <c r="K12" i="90"/>
  <c r="J12" i="90"/>
  <c r="A15" i="153"/>
  <c r="A16" i="153" s="1"/>
  <c r="A17" i="153" s="1"/>
  <c r="A18" i="153" s="1"/>
  <c r="A19" i="153" s="1"/>
  <c r="A20" i="153" s="1"/>
  <c r="A21" i="153" s="1"/>
  <c r="A22" i="153" s="1"/>
  <c r="A23" i="153" s="1"/>
  <c r="A24" i="153" s="1"/>
  <c r="A25" i="153" s="1"/>
  <c r="A26" i="153" s="1"/>
  <c r="A27" i="153" s="1"/>
  <c r="A28" i="153" s="1"/>
  <c r="A29" i="153" s="1"/>
  <c r="A30" i="153" s="1"/>
  <c r="A31" i="153" s="1"/>
  <c r="A32" i="153" s="1"/>
  <c r="A33" i="153" s="1"/>
  <c r="L16" i="86"/>
  <c r="K18" i="147" s="1"/>
  <c r="B14" i="86"/>
  <c r="B16" i="86" s="1"/>
  <c r="G18" i="147" s="1"/>
  <c r="K44" i="94"/>
  <c r="K42" i="94"/>
  <c r="F56" i="145"/>
  <c r="G56" i="145" s="1"/>
  <c r="G55" i="145"/>
  <c r="G54" i="145"/>
  <c r="G53" i="145"/>
  <c r="G52" i="145"/>
  <c r="G51" i="145"/>
  <c r="G50" i="145"/>
  <c r="G49" i="145"/>
  <c r="G48" i="145"/>
  <c r="G47" i="145"/>
  <c r="G46" i="145"/>
  <c r="G45" i="145"/>
  <c r="G44" i="145"/>
  <c r="C44" i="145"/>
  <c r="H39" i="145"/>
  <c r="H40" i="145" s="1"/>
  <c r="C47" i="145" s="1"/>
  <c r="G11" i="91"/>
  <c r="B14" i="96"/>
  <c r="B22" i="96" s="1"/>
  <c r="B29" i="96" s="1"/>
  <c r="B46" i="96" s="1"/>
  <c r="B48" i="96" s="1"/>
  <c r="B50" i="96" s="1"/>
  <c r="N59" i="90"/>
  <c r="M59" i="90"/>
  <c r="L59" i="90"/>
  <c r="K59" i="90"/>
  <c r="J59" i="90"/>
  <c r="N58" i="90"/>
  <c r="M58" i="90"/>
  <c r="L58" i="90"/>
  <c r="K58" i="90"/>
  <c r="J58" i="90"/>
  <c r="N57" i="90"/>
  <c r="M57" i="90"/>
  <c r="L57" i="90"/>
  <c r="K57" i="90"/>
  <c r="J57" i="90"/>
  <c r="N56" i="90"/>
  <c r="M56" i="90"/>
  <c r="L56" i="90"/>
  <c r="K56" i="90"/>
  <c r="J56" i="90"/>
  <c r="N55" i="90"/>
  <c r="M55" i="90"/>
  <c r="L55" i="90"/>
  <c r="K55" i="90"/>
  <c r="J55" i="90"/>
  <c r="N54" i="90"/>
  <c r="M54" i="90"/>
  <c r="L54" i="90"/>
  <c r="K54" i="90"/>
  <c r="J54" i="90"/>
  <c r="N53" i="90"/>
  <c r="M53" i="90"/>
  <c r="L53" i="90"/>
  <c r="K53" i="90"/>
  <c r="J53" i="90"/>
  <c r="N52" i="90"/>
  <c r="M52" i="90"/>
  <c r="L52" i="90"/>
  <c r="K52" i="90"/>
  <c r="J52" i="90"/>
  <c r="N48" i="90"/>
  <c r="M48" i="90"/>
  <c r="L48" i="90"/>
  <c r="K48" i="90"/>
  <c r="J48" i="90"/>
  <c r="N46" i="90"/>
  <c r="M46" i="90"/>
  <c r="L46" i="90"/>
  <c r="K46" i="90"/>
  <c r="J46" i="90"/>
  <c r="N45" i="90"/>
  <c r="M45" i="90"/>
  <c r="L45" i="90"/>
  <c r="K45" i="90"/>
  <c r="J45" i="90"/>
  <c r="N39" i="90"/>
  <c r="M39" i="90"/>
  <c r="L39" i="90"/>
  <c r="K39" i="90"/>
  <c r="J39" i="90"/>
  <c r="N37" i="90"/>
  <c r="M37" i="90"/>
  <c r="L37" i="90"/>
  <c r="K37" i="90"/>
  <c r="J37" i="90"/>
  <c r="N36" i="90"/>
  <c r="M36" i="90"/>
  <c r="L36" i="90"/>
  <c r="K36" i="90"/>
  <c r="J36" i="90"/>
  <c r="N34" i="90"/>
  <c r="M34" i="90"/>
  <c r="L34" i="90"/>
  <c r="K34" i="90"/>
  <c r="J34" i="90"/>
  <c r="N32" i="90"/>
  <c r="M32" i="90"/>
  <c r="L32" i="90"/>
  <c r="K32" i="90"/>
  <c r="J32" i="90"/>
  <c r="N26" i="90"/>
  <c r="M26" i="90"/>
  <c r="L26" i="90"/>
  <c r="K26" i="90"/>
  <c r="J26" i="90"/>
  <c r="N25" i="90"/>
  <c r="M25" i="90"/>
  <c r="L25" i="90"/>
  <c r="K25" i="90"/>
  <c r="J25" i="90"/>
  <c r="N24" i="90"/>
  <c r="M24" i="90"/>
  <c r="L24" i="90"/>
  <c r="N23" i="90"/>
  <c r="M23" i="90"/>
  <c r="L23" i="90"/>
  <c r="N22" i="90"/>
  <c r="M22" i="90"/>
  <c r="L22" i="90"/>
  <c r="K22" i="90"/>
  <c r="J22" i="90"/>
  <c r="N21" i="90"/>
  <c r="M21" i="90"/>
  <c r="L21" i="90"/>
  <c r="K21" i="90"/>
  <c r="J21" i="90"/>
  <c r="N16" i="90"/>
  <c r="M16" i="90"/>
  <c r="L16" i="90"/>
  <c r="K16" i="90"/>
  <c r="J16" i="90"/>
  <c r="N15" i="90"/>
  <c r="M15" i="90"/>
  <c r="L15" i="90"/>
  <c r="K15" i="90"/>
  <c r="J15" i="90"/>
  <c r="N10" i="90"/>
  <c r="M10" i="90"/>
  <c r="L10" i="90"/>
  <c r="D20" i="89"/>
  <c r="J32" i="139"/>
  <c r="L10" i="139"/>
  <c r="F50" i="39"/>
  <c r="G146" i="86" s="1"/>
  <c r="L146" i="86" s="1"/>
  <c r="F23" i="94"/>
  <c r="F19" i="94"/>
  <c r="F15" i="94"/>
  <c r="F11" i="94"/>
  <c r="M33" i="78"/>
  <c r="G40" i="153"/>
  <c r="P40" i="153"/>
  <c r="M40" i="153"/>
  <c r="L40" i="153"/>
  <c r="I40" i="153"/>
  <c r="E40" i="153"/>
  <c r="Q23" i="153"/>
  <c r="S23" i="153" s="1"/>
  <c r="P55" i="153"/>
  <c r="O55" i="153"/>
  <c r="N55" i="153"/>
  <c r="L55" i="153"/>
  <c r="K55" i="153"/>
  <c r="J55" i="153"/>
  <c r="I55" i="153"/>
  <c r="H55" i="153"/>
  <c r="G55" i="153"/>
  <c r="E55" i="153"/>
  <c r="P51" i="153"/>
  <c r="P54" i="153" s="1"/>
  <c r="O51" i="153"/>
  <c r="O54" i="153" s="1"/>
  <c r="M51" i="153"/>
  <c r="M54" i="153" s="1"/>
  <c r="L51" i="153"/>
  <c r="K51" i="153"/>
  <c r="K54" i="153" s="1"/>
  <c r="I51" i="153"/>
  <c r="I54" i="153" s="1"/>
  <c r="H51" i="153"/>
  <c r="H54" i="153" s="1"/>
  <c r="G51" i="153"/>
  <c r="G54" i="153" s="1"/>
  <c r="E51" i="153"/>
  <c r="E54" i="153" s="1"/>
  <c r="Q53" i="153"/>
  <c r="S53" i="153" s="1"/>
  <c r="Q52" i="153"/>
  <c r="S52" i="153" s="1"/>
  <c r="B25" i="149"/>
  <c r="B14" i="149"/>
  <c r="F6" i="147"/>
  <c r="G14" i="147"/>
  <c r="D28" i="149"/>
  <c r="H20" i="149"/>
  <c r="H17" i="149"/>
  <c r="H16" i="149"/>
  <c r="B16" i="149"/>
  <c r="B17" i="149" s="1"/>
  <c r="B18" i="149" s="1"/>
  <c r="D38" i="147"/>
  <c r="I25" i="147"/>
  <c r="I24" i="147"/>
  <c r="A2" i="89"/>
  <c r="A2" i="74"/>
  <c r="M2" i="74" s="1"/>
  <c r="A2" i="52"/>
  <c r="A3" i="96"/>
  <c r="A2" i="39" s="1"/>
  <c r="A2" i="91"/>
  <c r="A2" i="94"/>
  <c r="A2" i="78"/>
  <c r="A2" i="143"/>
  <c r="A2" i="129"/>
  <c r="D186" i="86"/>
  <c r="A2" i="146"/>
  <c r="A5" i="146"/>
  <c r="A6" i="145"/>
  <c r="A4" i="145"/>
  <c r="A3" i="145"/>
  <c r="G30" i="145"/>
  <c r="G29" i="145"/>
  <c r="G28" i="145"/>
  <c r="G27" i="145"/>
  <c r="G26" i="145"/>
  <c r="G25" i="145"/>
  <c r="G24" i="145"/>
  <c r="G23" i="145"/>
  <c r="G22" i="145"/>
  <c r="G21" i="145"/>
  <c r="G20" i="145"/>
  <c r="G19" i="145"/>
  <c r="G18" i="145"/>
  <c r="A12" i="145"/>
  <c r="A13" i="145" s="1"/>
  <c r="C58" i="89"/>
  <c r="C3" i="90"/>
  <c r="C3" i="139"/>
  <c r="C4" i="90"/>
  <c r="C4" i="139"/>
  <c r="A5" i="89"/>
  <c r="C19" i="89"/>
  <c r="C32" i="89" s="1"/>
  <c r="J98" i="129"/>
  <c r="N19" i="143"/>
  <c r="M19" i="143"/>
  <c r="L19" i="143"/>
  <c r="L23" i="86" s="1"/>
  <c r="K23" i="147" s="1"/>
  <c r="P14" i="143"/>
  <c r="A89" i="129"/>
  <c r="A88" i="143"/>
  <c r="I98" i="143"/>
  <c r="N159" i="143"/>
  <c r="L159" i="143"/>
  <c r="N158" i="143"/>
  <c r="L158" i="143"/>
  <c r="N157" i="143"/>
  <c r="L157" i="143"/>
  <c r="N156" i="143"/>
  <c r="L156" i="143"/>
  <c r="N155" i="143"/>
  <c r="L155" i="143"/>
  <c r="N154" i="143"/>
  <c r="L154" i="143"/>
  <c r="O154" i="143" s="1"/>
  <c r="N153" i="143"/>
  <c r="L153" i="143"/>
  <c r="N152" i="143"/>
  <c r="L152" i="143"/>
  <c r="N151" i="143"/>
  <c r="L151" i="143"/>
  <c r="N150" i="143"/>
  <c r="L150" i="143"/>
  <c r="N149" i="143"/>
  <c r="L149" i="143"/>
  <c r="N148" i="143"/>
  <c r="L148" i="143"/>
  <c r="N147" i="143"/>
  <c r="L147" i="143"/>
  <c r="N146" i="143"/>
  <c r="L146" i="143"/>
  <c r="N145" i="143"/>
  <c r="L145" i="143"/>
  <c r="N144" i="143"/>
  <c r="L144" i="143"/>
  <c r="N143" i="143"/>
  <c r="L143" i="143"/>
  <c r="N142" i="143"/>
  <c r="L142" i="143"/>
  <c r="N141" i="143"/>
  <c r="L141" i="143"/>
  <c r="N140" i="143"/>
  <c r="O140" i="143" s="1"/>
  <c r="L140" i="143"/>
  <c r="N139" i="143"/>
  <c r="L139" i="143"/>
  <c r="N138" i="143"/>
  <c r="L138" i="143"/>
  <c r="N137" i="143"/>
  <c r="L137" i="143"/>
  <c r="N136" i="143"/>
  <c r="O136" i="143" s="1"/>
  <c r="L136" i="143"/>
  <c r="N135" i="143"/>
  <c r="L135" i="143"/>
  <c r="N134" i="143"/>
  <c r="O134" i="143" s="1"/>
  <c r="L134" i="143"/>
  <c r="N133" i="143"/>
  <c r="L133" i="143"/>
  <c r="N132" i="143"/>
  <c r="L132" i="143"/>
  <c r="N131" i="143"/>
  <c r="L131" i="143"/>
  <c r="N130" i="143"/>
  <c r="L130" i="143"/>
  <c r="N129" i="143"/>
  <c r="L129" i="143"/>
  <c r="O129" i="143" s="1"/>
  <c r="N128" i="143"/>
  <c r="L128" i="143"/>
  <c r="N127" i="143"/>
  <c r="L127" i="143"/>
  <c r="N126" i="143"/>
  <c r="O126" i="143" s="1"/>
  <c r="L126" i="143"/>
  <c r="N125" i="143"/>
  <c r="L125" i="143"/>
  <c r="N124" i="143"/>
  <c r="O124" i="143" s="1"/>
  <c r="L124" i="143"/>
  <c r="N123" i="143"/>
  <c r="L123" i="143"/>
  <c r="N122" i="143"/>
  <c r="O122" i="143" s="1"/>
  <c r="L122" i="143"/>
  <c r="N121" i="143"/>
  <c r="L121" i="143"/>
  <c r="N120" i="143"/>
  <c r="O120" i="143" s="1"/>
  <c r="L120" i="143"/>
  <c r="N119" i="143"/>
  <c r="L119" i="143"/>
  <c r="N118" i="143"/>
  <c r="O118" i="143" s="1"/>
  <c r="L118" i="143"/>
  <c r="N117" i="143"/>
  <c r="L117" i="143"/>
  <c r="O117" i="143" s="1"/>
  <c r="N116" i="143"/>
  <c r="L116" i="143"/>
  <c r="N115" i="143"/>
  <c r="L115" i="143"/>
  <c r="N114" i="143"/>
  <c r="O114" i="143" s="1"/>
  <c r="L114" i="143"/>
  <c r="N113" i="143"/>
  <c r="L113" i="143"/>
  <c r="N112" i="143"/>
  <c r="L112" i="143"/>
  <c r="N111" i="143"/>
  <c r="L111" i="143"/>
  <c r="N110" i="143"/>
  <c r="O110" i="143" s="1"/>
  <c r="L110" i="143"/>
  <c r="N109" i="143"/>
  <c r="L109" i="143"/>
  <c r="N108" i="143"/>
  <c r="L108" i="143"/>
  <c r="N107" i="143"/>
  <c r="L107" i="143"/>
  <c r="O107" i="143" s="1"/>
  <c r="N106" i="143"/>
  <c r="L106" i="143"/>
  <c r="N105" i="143"/>
  <c r="L105" i="143"/>
  <c r="O105" i="143" s="1"/>
  <c r="N104" i="143"/>
  <c r="L104" i="143"/>
  <c r="D104" i="143"/>
  <c r="C104" i="143"/>
  <c r="C105" i="143"/>
  <c r="C106" i="143"/>
  <c r="C107" i="143"/>
  <c r="C108" i="143"/>
  <c r="C109" i="143"/>
  <c r="C110" i="143"/>
  <c r="C111" i="143"/>
  <c r="C112" i="143"/>
  <c r="C113" i="143"/>
  <c r="C114" i="143"/>
  <c r="C115" i="143"/>
  <c r="C116" i="143"/>
  <c r="C117" i="143"/>
  <c r="C118" i="143"/>
  <c r="C119" i="143"/>
  <c r="C120" i="143"/>
  <c r="C121" i="143"/>
  <c r="C122" i="143"/>
  <c r="C123" i="143"/>
  <c r="C124" i="143"/>
  <c r="C125" i="143"/>
  <c r="C126" i="143"/>
  <c r="C127" i="143"/>
  <c r="C128" i="143"/>
  <c r="C129" i="143"/>
  <c r="C130" i="143"/>
  <c r="C131" i="143"/>
  <c r="I101" i="143"/>
  <c r="E104" i="143" s="1"/>
  <c r="F104" i="143" s="1"/>
  <c r="D105" i="143" s="1"/>
  <c r="B105" i="143" s="1"/>
  <c r="K98" i="143"/>
  <c r="F31" i="39"/>
  <c r="N20" i="129"/>
  <c r="Q33" i="143"/>
  <c r="C78" i="143"/>
  <c r="C76" i="143"/>
  <c r="C75" i="143"/>
  <c r="C73" i="143"/>
  <c r="C72" i="143"/>
  <c r="C70" i="143"/>
  <c r="C59" i="143"/>
  <c r="C58" i="143"/>
  <c r="C56" i="143"/>
  <c r="C53" i="143"/>
  <c r="C52" i="143"/>
  <c r="C49" i="143"/>
  <c r="C48" i="143"/>
  <c r="C39" i="143"/>
  <c r="C38" i="143"/>
  <c r="K19" i="143"/>
  <c r="P12" i="143" s="1"/>
  <c r="C27" i="143"/>
  <c r="C21" i="143"/>
  <c r="C13" i="143"/>
  <c r="A12" i="143"/>
  <c r="A13" i="143" s="1"/>
  <c r="A14" i="143" s="1"/>
  <c r="A15" i="143" s="1"/>
  <c r="A16" i="143" s="1"/>
  <c r="A17" i="143" s="1"/>
  <c r="A18" i="143" s="1"/>
  <c r="A19" i="143" s="1"/>
  <c r="A23" i="143" s="1"/>
  <c r="A24" i="143" s="1"/>
  <c r="A25" i="143" s="1"/>
  <c r="A29" i="143" s="1"/>
  <c r="A30" i="143" s="1"/>
  <c r="A31" i="143" s="1"/>
  <c r="A32" i="143" s="1"/>
  <c r="A33" i="143" s="1"/>
  <c r="A34" i="143" s="1"/>
  <c r="A35" i="143" s="1"/>
  <c r="A36" i="143" s="1"/>
  <c r="A42" i="143" s="1"/>
  <c r="A43" i="143" s="1"/>
  <c r="A44" i="143" s="1"/>
  <c r="A45" i="143" s="1"/>
  <c r="A46" i="143" s="1"/>
  <c r="A49" i="143" s="1"/>
  <c r="A50" i="143" s="1"/>
  <c r="A51" i="143" s="1"/>
  <c r="A52" i="143" s="1"/>
  <c r="A53" i="143" s="1"/>
  <c r="A54" i="143" s="1"/>
  <c r="A55" i="143" s="1"/>
  <c r="A56" i="143" s="1"/>
  <c r="A59" i="143" s="1"/>
  <c r="A60" i="143" s="1"/>
  <c r="A61" i="143" s="1"/>
  <c r="A62" i="143" s="1"/>
  <c r="A63" i="143" s="1"/>
  <c r="A64" i="143" s="1"/>
  <c r="A65" i="143" s="1"/>
  <c r="A66" i="143" s="1"/>
  <c r="A67" i="143" s="1"/>
  <c r="A68" i="143" s="1"/>
  <c r="A71" i="143" s="1"/>
  <c r="A72" i="143" s="1"/>
  <c r="A73" i="143" s="1"/>
  <c r="A75" i="143" s="1"/>
  <c r="A76" i="143" s="1"/>
  <c r="A77" i="143" s="1"/>
  <c r="A78" i="143" s="1"/>
  <c r="F11" i="143"/>
  <c r="F13" i="143" s="1"/>
  <c r="E18" i="143" s="1"/>
  <c r="C9" i="143"/>
  <c r="C7" i="143"/>
  <c r="A5" i="143"/>
  <c r="C59" i="89"/>
  <c r="C20" i="89"/>
  <c r="C6" i="139"/>
  <c r="C6" i="90"/>
  <c r="A5" i="94"/>
  <c r="A5" i="78"/>
  <c r="C8" i="52"/>
  <c r="B10" i="52" s="1"/>
  <c r="A5" i="91"/>
  <c r="A6" i="96"/>
  <c r="A5" i="129"/>
  <c r="A5" i="52"/>
  <c r="A5" i="74"/>
  <c r="M5" i="74" s="1"/>
  <c r="F27" i="94"/>
  <c r="B7" i="94"/>
  <c r="S34" i="129"/>
  <c r="C58" i="129"/>
  <c r="A12" i="129"/>
  <c r="A13" i="129" s="1"/>
  <c r="A14" i="129" s="1"/>
  <c r="A15" i="129" s="1"/>
  <c r="A16" i="129" s="1"/>
  <c r="A17" i="129" s="1"/>
  <c r="A18" i="129" s="1"/>
  <c r="A19" i="129" s="1"/>
  <c r="A23" i="129" s="1"/>
  <c r="A24" i="129" s="1"/>
  <c r="A25" i="129" s="1"/>
  <c r="A29" i="129" s="1"/>
  <c r="A30" i="129" s="1"/>
  <c r="A31" i="129" s="1"/>
  <c r="A32" i="129" s="1"/>
  <c r="A33" i="129" s="1"/>
  <c r="A34" i="129" s="1"/>
  <c r="A35" i="129" s="1"/>
  <c r="A36" i="129" s="1"/>
  <c r="A42" i="129" s="1"/>
  <c r="A43" i="129" s="1"/>
  <c r="A44" i="129" s="1"/>
  <c r="A45" i="129" s="1"/>
  <c r="A46" i="129" s="1"/>
  <c r="A49" i="129" s="1"/>
  <c r="A50" i="129" s="1"/>
  <c r="A51" i="129" s="1"/>
  <c r="A52" i="129" s="1"/>
  <c r="A53" i="129" s="1"/>
  <c r="A54" i="129" s="1"/>
  <c r="A55" i="129" s="1"/>
  <c r="A56" i="129" s="1"/>
  <c r="A59" i="129" s="1"/>
  <c r="A60" i="129" s="1"/>
  <c r="A61" i="129" s="1"/>
  <c r="A62" i="129" s="1"/>
  <c r="A63" i="129" s="1"/>
  <c r="A64" i="129" s="1"/>
  <c r="A65" i="129" s="1"/>
  <c r="A66" i="129" s="1"/>
  <c r="A67" i="129" s="1"/>
  <c r="A68" i="129" s="1"/>
  <c r="A71" i="129" s="1"/>
  <c r="A72" i="129" s="1"/>
  <c r="A73" i="129" s="1"/>
  <c r="A75" i="129" s="1"/>
  <c r="A76" i="129" s="1"/>
  <c r="A77" i="129" s="1"/>
  <c r="A78" i="129" s="1"/>
  <c r="D11" i="39"/>
  <c r="F6" i="86"/>
  <c r="F44" i="86" s="1"/>
  <c r="F118" i="86" s="1"/>
  <c r="F198" i="86" s="1"/>
  <c r="F260" i="86" s="1"/>
  <c r="F41" i="39"/>
  <c r="G145" i="86" s="1"/>
  <c r="J40" i="90"/>
  <c r="L40" i="90"/>
  <c r="M40" i="90"/>
  <c r="N40" i="90"/>
  <c r="G21" i="91"/>
  <c r="G132" i="86" s="1"/>
  <c r="G51" i="74"/>
  <c r="D61" i="89"/>
  <c r="D62" i="89" s="1"/>
  <c r="G91" i="86" s="1"/>
  <c r="L40" i="139"/>
  <c r="N40" i="139"/>
  <c r="F37" i="89"/>
  <c r="M40" i="139"/>
  <c r="G59" i="89"/>
  <c r="G61" i="89" s="1"/>
  <c r="G62" i="89" s="1"/>
  <c r="J40" i="139"/>
  <c r="A16" i="39"/>
  <c r="A17" i="39"/>
  <c r="A18" i="39" s="1"/>
  <c r="A19" i="39" s="1"/>
  <c r="A20" i="39" s="1"/>
  <c r="A21" i="39" s="1"/>
  <c r="A22" i="39" s="1"/>
  <c r="A23" i="39" s="1"/>
  <c r="A24" i="39" s="1"/>
  <c r="A25" i="39" s="1"/>
  <c r="A26" i="39" s="1"/>
  <c r="A27" i="39" s="1"/>
  <c r="A28" i="39" s="1"/>
  <c r="A29" i="39" s="1"/>
  <c r="A31" i="39" s="1"/>
  <c r="A16" i="78"/>
  <c r="A17" i="78" s="1"/>
  <c r="A19" i="78" s="1"/>
  <c r="A20" i="78" s="1"/>
  <c r="A21" i="78" s="1"/>
  <c r="A22" i="78" s="1"/>
  <c r="A23" i="78" s="1"/>
  <c r="A24" i="78" s="1"/>
  <c r="A26" i="78" s="1"/>
  <c r="A27" i="78" s="1"/>
  <c r="A28" i="78" s="1"/>
  <c r="A29" i="78" s="1"/>
  <c r="A30" i="78" s="1"/>
  <c r="A32" i="78" s="1"/>
  <c r="A33" i="78" s="1"/>
  <c r="A34" i="78" s="1"/>
  <c r="A35" i="78" s="1"/>
  <c r="A37" i="78" s="1"/>
  <c r="A38" i="78" s="1"/>
  <c r="A39" i="78" s="1"/>
  <c r="A40" i="78" s="1"/>
  <c r="A41" i="78" s="1"/>
  <c r="A42" i="78" s="1"/>
  <c r="A43" i="78" s="1"/>
  <c r="A44" i="78" s="1"/>
  <c r="A45" i="78" s="1"/>
  <c r="A46" i="78" s="1"/>
  <c r="A47" i="78" s="1"/>
  <c r="A48" i="78" s="1"/>
  <c r="A49" i="78" s="1"/>
  <c r="A50" i="78" s="1"/>
  <c r="A51" i="78" s="1"/>
  <c r="A52" i="78" s="1"/>
  <c r="A54" i="78" s="1"/>
  <c r="C57" i="78" s="1"/>
  <c r="E37" i="89"/>
  <c r="G189" i="78"/>
  <c r="A41" i="94"/>
  <c r="A42" i="94"/>
  <c r="A43" i="94" s="1"/>
  <c r="A44" i="94" s="1"/>
  <c r="A45" i="94" s="1"/>
  <c r="E53" i="94"/>
  <c r="F61" i="143"/>
  <c r="P30" i="143" s="1"/>
  <c r="B13" i="91"/>
  <c r="B14" i="91" s="1"/>
  <c r="B15" i="91" s="1"/>
  <c r="B16" i="91" s="1"/>
  <c r="B17" i="91" s="1"/>
  <c r="B18" i="91" s="1"/>
  <c r="B19" i="91" s="1"/>
  <c r="B20" i="91" s="1"/>
  <c r="C7" i="129"/>
  <c r="C9" i="129"/>
  <c r="C13" i="129"/>
  <c r="C21" i="129"/>
  <c r="C27" i="129"/>
  <c r="C38" i="129"/>
  <c r="C39" i="129"/>
  <c r="C48" i="129"/>
  <c r="C49" i="129"/>
  <c r="C52" i="129"/>
  <c r="C53" i="129"/>
  <c r="C56" i="129"/>
  <c r="C59" i="129"/>
  <c r="C70" i="129"/>
  <c r="C72" i="129"/>
  <c r="C73" i="129"/>
  <c r="C75" i="129"/>
  <c r="C76" i="129"/>
  <c r="C78" i="129"/>
  <c r="S15" i="129"/>
  <c r="S16" i="129"/>
  <c r="S17" i="129"/>
  <c r="S18" i="129"/>
  <c r="S19" i="129"/>
  <c r="S20" i="129"/>
  <c r="A14" i="52"/>
  <c r="A16" i="52" s="1"/>
  <c r="A17" i="52" s="1"/>
  <c r="A18" i="52" s="1"/>
  <c r="A20" i="52" s="1"/>
  <c r="A22" i="52" s="1"/>
  <c r="E111" i="86" s="1"/>
  <c r="F46" i="86"/>
  <c r="F120" i="86" s="1"/>
  <c r="F200" i="86" s="1"/>
  <c r="F262" i="86" s="1"/>
  <c r="F42" i="86"/>
  <c r="F116" i="86" s="1"/>
  <c r="F196" i="86" s="1"/>
  <c r="F258" i="86" s="1"/>
  <c r="F43" i="86"/>
  <c r="F117" i="86" s="1"/>
  <c r="F197" i="86" s="1"/>
  <c r="F259" i="86" s="1"/>
  <c r="B52" i="86"/>
  <c r="B126" i="86" s="1"/>
  <c r="B53" i="86"/>
  <c r="B127" i="86" s="1"/>
  <c r="D66" i="86"/>
  <c r="D78" i="86" s="1"/>
  <c r="D68" i="86"/>
  <c r="D79" i="86" s="1"/>
  <c r="D70" i="86"/>
  <c r="D80" i="86" s="1"/>
  <c r="D72" i="86"/>
  <c r="D81" i="86" s="1"/>
  <c r="D74" i="86"/>
  <c r="D82" i="86" s="1"/>
  <c r="E124" i="86"/>
  <c r="L124" i="86"/>
  <c r="E125" i="86"/>
  <c r="G125" i="86"/>
  <c r="I125" i="86"/>
  <c r="L125" i="86"/>
  <c r="D291" i="86"/>
  <c r="A20" i="89"/>
  <c r="A22" i="89" s="1"/>
  <c r="A23" i="89" s="1"/>
  <c r="O20" i="129"/>
  <c r="F11" i="129"/>
  <c r="P20" i="129"/>
  <c r="L35" i="86"/>
  <c r="K32" i="147" s="1"/>
  <c r="O146" i="143"/>
  <c r="C132" i="143"/>
  <c r="C133" i="143"/>
  <c r="C134" i="143"/>
  <c r="C135" i="143"/>
  <c r="C136" i="143"/>
  <c r="C137" i="143"/>
  <c r="C138" i="143"/>
  <c r="C139" i="143"/>
  <c r="C140" i="143"/>
  <c r="C141" i="143"/>
  <c r="C142" i="143"/>
  <c r="C143" i="143"/>
  <c r="C144" i="143"/>
  <c r="C145" i="143"/>
  <c r="C146" i="143"/>
  <c r="C147" i="143"/>
  <c r="C148" i="143"/>
  <c r="C149" i="143"/>
  <c r="C150" i="143"/>
  <c r="C151" i="143"/>
  <c r="C152" i="143"/>
  <c r="C153" i="143"/>
  <c r="C154" i="143"/>
  <c r="C155" i="143"/>
  <c r="C156" i="143"/>
  <c r="C157" i="143"/>
  <c r="C158" i="143"/>
  <c r="C159" i="143"/>
  <c r="N94" i="143"/>
  <c r="H61" i="90"/>
  <c r="D45" i="89" s="1"/>
  <c r="H41" i="90"/>
  <c r="D33" i="89" s="1"/>
  <c r="L55" i="139"/>
  <c r="N60" i="139"/>
  <c r="M45" i="139"/>
  <c r="M10" i="139"/>
  <c r="N10" i="139"/>
  <c r="J51" i="153"/>
  <c r="J54" i="153" s="1"/>
  <c r="F61" i="129"/>
  <c r="R31" i="129" s="1"/>
  <c r="D51" i="74"/>
  <c r="L34" i="139"/>
  <c r="M56" i="139"/>
  <c r="K56" i="139"/>
  <c r="N56" i="139"/>
  <c r="N51" i="153"/>
  <c r="N54" i="153" s="1"/>
  <c r="N55" i="139"/>
  <c r="K55" i="139"/>
  <c r="M55" i="139"/>
  <c r="L60" i="139"/>
  <c r="M60" i="139"/>
  <c r="K60" i="139"/>
  <c r="G186" i="86"/>
  <c r="L186" i="86" s="1"/>
  <c r="L32" i="139"/>
  <c r="N32" i="139"/>
  <c r="K32" i="139"/>
  <c r="M32" i="139"/>
  <c r="L58" i="139"/>
  <c r="K58" i="139"/>
  <c r="N58" i="139"/>
  <c r="J58" i="139"/>
  <c r="M58" i="139"/>
  <c r="M55" i="153"/>
  <c r="J45" i="139"/>
  <c r="N45" i="139"/>
  <c r="L45" i="139"/>
  <c r="K45" i="139"/>
  <c r="L56" i="139"/>
  <c r="J56" i="139"/>
  <c r="G144" i="86"/>
  <c r="I40" i="94"/>
  <c r="K40" i="94"/>
  <c r="O40" i="153"/>
  <c r="F40" i="153"/>
  <c r="J40" i="153"/>
  <c r="Q17" i="153"/>
  <c r="S17" i="153" s="1"/>
  <c r="Q19" i="153"/>
  <c r="S19" i="153" s="1"/>
  <c r="Q21" i="153"/>
  <c r="S21" i="153" s="1"/>
  <c r="Q30" i="153"/>
  <c r="S30" i="153" s="1"/>
  <c r="K40" i="153"/>
  <c r="N40" i="153"/>
  <c r="Q16" i="153"/>
  <c r="S16" i="153" s="1"/>
  <c r="N57" i="153"/>
  <c r="Q14" i="153"/>
  <c r="S14" i="153" s="1"/>
  <c r="L57" i="153"/>
  <c r="Q15" i="153"/>
  <c r="S15" i="153" s="1"/>
  <c r="Q20" i="153"/>
  <c r="S20" i="153" s="1"/>
  <c r="Q27" i="153"/>
  <c r="S27" i="153" s="1"/>
  <c r="Q31" i="153"/>
  <c r="S31" i="153" s="1"/>
  <c r="F57" i="153"/>
  <c r="I57" i="153"/>
  <c r="G57" i="153"/>
  <c r="Q18" i="153"/>
  <c r="S18" i="153" s="1"/>
  <c r="O57" i="153"/>
  <c r="Q22" i="153"/>
  <c r="S22" i="153" s="1"/>
  <c r="Q26" i="153"/>
  <c r="S26" i="153" s="1"/>
  <c r="H40" i="153"/>
  <c r="K57" i="153"/>
  <c r="Q24" i="153"/>
  <c r="S24" i="153" s="1"/>
  <c r="Q25" i="153"/>
  <c r="S25" i="153" s="1"/>
  <c r="Q28" i="153"/>
  <c r="S28" i="153" s="1"/>
  <c r="Q29" i="153"/>
  <c r="S29" i="153" s="1"/>
  <c r="M57" i="153"/>
  <c r="H57" i="153"/>
  <c r="F51" i="153"/>
  <c r="F54" i="153" s="1"/>
  <c r="P57" i="153"/>
  <c r="E57" i="153"/>
  <c r="F55" i="153"/>
  <c r="J57" i="153"/>
  <c r="G104" i="86"/>
  <c r="M57" i="139"/>
  <c r="J57" i="139"/>
  <c r="L57" i="139"/>
  <c r="N57" i="139"/>
  <c r="K57" i="139"/>
  <c r="J60" i="139"/>
  <c r="J55" i="139"/>
  <c r="M34" i="139"/>
  <c r="J34" i="139"/>
  <c r="K34" i="139"/>
  <c r="N34" i="139"/>
  <c r="L20" i="129"/>
  <c r="E50" i="39"/>
  <c r="C20" i="52"/>
  <c r="C22" i="52" s="1"/>
  <c r="G103" i="86"/>
  <c r="D41" i="39"/>
  <c r="G139" i="86" s="1"/>
  <c r="H216" i="86"/>
  <c r="K22" i="96"/>
  <c r="H218" i="86"/>
  <c r="L218" i="86"/>
  <c r="G143" i="86"/>
  <c r="L67" i="86"/>
  <c r="O137" i="143"/>
  <c r="O155" i="143"/>
  <c r="L70" i="86"/>
  <c r="I54" i="78"/>
  <c r="G160" i="86" s="1"/>
  <c r="G219" i="86"/>
  <c r="J15" i="149"/>
  <c r="J18" i="149" s="1"/>
  <c r="J22" i="149" s="1"/>
  <c r="B13" i="196" s="1"/>
  <c r="F13" i="196" s="1"/>
  <c r="L17" i="96"/>
  <c r="M22" i="96"/>
  <c r="L71" i="86"/>
  <c r="G54" i="78"/>
  <c r="G162" i="86" s="1"/>
  <c r="H217" i="86"/>
  <c r="L217" i="86"/>
  <c r="E31" i="39"/>
  <c r="D31" i="39"/>
  <c r="G138" i="86" s="1"/>
  <c r="E54" i="78"/>
  <c r="L18" i="149"/>
  <c r="A46" i="94" l="1"/>
  <c r="A48" i="94" s="1"/>
  <c r="A50" i="94" s="1"/>
  <c r="A51" i="94" s="1"/>
  <c r="D47" i="94"/>
  <c r="B20" i="149"/>
  <c r="B22" i="149" s="1"/>
  <c r="F22" i="149"/>
  <c r="O148" i="143"/>
  <c r="F13" i="129"/>
  <c r="E18" i="129" s="1"/>
  <c r="R14" i="129"/>
  <c r="O143" i="143"/>
  <c r="O147" i="143"/>
  <c r="O159" i="143"/>
  <c r="L22" i="149"/>
  <c r="B13" i="225"/>
  <c r="F13" i="225" s="1"/>
  <c r="P44" i="196"/>
  <c r="D21" i="196"/>
  <c r="F56" i="153"/>
  <c r="K26" i="147"/>
  <c r="K56" i="153"/>
  <c r="I56" i="153"/>
  <c r="P56" i="153"/>
  <c r="N56" i="153"/>
  <c r="J61" i="90"/>
  <c r="E45" i="89" s="1"/>
  <c r="N61" i="90"/>
  <c r="I45" i="89" s="1"/>
  <c r="L61" i="90"/>
  <c r="G45" i="89" s="1"/>
  <c r="M56" i="153"/>
  <c r="M41" i="90"/>
  <c r="H33" i="89" s="1"/>
  <c r="N28" i="90"/>
  <c r="I20" i="89" s="1"/>
  <c r="F138" i="215"/>
  <c r="B138" i="215"/>
  <c r="I137" i="215"/>
  <c r="A81" i="129"/>
  <c r="A82" i="129" s="1"/>
  <c r="A83" i="129" s="1"/>
  <c r="A84" i="129" s="1"/>
  <c r="A85" i="129" s="1"/>
  <c r="O145" i="143"/>
  <c r="A81" i="143"/>
  <c r="A82" i="143" s="1"/>
  <c r="A83" i="143" s="1"/>
  <c r="A84" i="143" s="1"/>
  <c r="A85" i="143" s="1"/>
  <c r="O138" i="143"/>
  <c r="O108" i="143"/>
  <c r="O152" i="143"/>
  <c r="O156" i="143"/>
  <c r="O109" i="143"/>
  <c r="O113" i="143"/>
  <c r="O133" i="143"/>
  <c r="F18" i="149"/>
  <c r="F29" i="94"/>
  <c r="F317" i="86" s="1"/>
  <c r="G168" i="86" s="1"/>
  <c r="F30" i="143" s="1"/>
  <c r="P21" i="143" s="1"/>
  <c r="K28" i="90"/>
  <c r="F20" i="89" s="1"/>
  <c r="J28" i="90"/>
  <c r="E20" i="89" s="1"/>
  <c r="O142" i="143"/>
  <c r="O149" i="143"/>
  <c r="O157" i="143"/>
  <c r="Q40" i="153"/>
  <c r="S40" i="153" s="1"/>
  <c r="O56" i="153"/>
  <c r="L41" i="90"/>
  <c r="G33" i="89" s="1"/>
  <c r="M61" i="90"/>
  <c r="H45" i="89" s="1"/>
  <c r="Q46" i="153"/>
  <c r="S46" i="153" s="1"/>
  <c r="O111" i="143"/>
  <c r="O119" i="143"/>
  <c r="O123" i="143"/>
  <c r="O127" i="143"/>
  <c r="O131" i="143"/>
  <c r="O139" i="143"/>
  <c r="K61" i="90"/>
  <c r="F45" i="89" s="1"/>
  <c r="O112" i="143"/>
  <c r="H47" i="145"/>
  <c r="O151" i="143"/>
  <c r="I51" i="74"/>
  <c r="G106" i="86" s="1"/>
  <c r="G107" i="86"/>
  <c r="E51" i="74"/>
  <c r="J51" i="74"/>
  <c r="H219" i="86"/>
  <c r="G16" i="147"/>
  <c r="G134" i="86"/>
  <c r="G101" i="86" s="1"/>
  <c r="J236" i="86"/>
  <c r="M54" i="78"/>
  <c r="G163" i="86" s="1"/>
  <c r="L163" i="86" s="1"/>
  <c r="A52" i="94"/>
  <c r="A53" i="94" s="1"/>
  <c r="B21" i="91"/>
  <c r="E132" i="86" s="1"/>
  <c r="F21" i="91"/>
  <c r="E105" i="143"/>
  <c r="F105" i="143" s="1"/>
  <c r="O116" i="143"/>
  <c r="O121" i="143"/>
  <c r="O128" i="143"/>
  <c r="O130" i="143"/>
  <c r="O132" i="143"/>
  <c r="O141" i="143"/>
  <c r="O150" i="143"/>
  <c r="O158" i="143"/>
  <c r="O106" i="143"/>
  <c r="O115" i="143"/>
  <c r="O125" i="143"/>
  <c r="O153" i="143"/>
  <c r="M28" i="90"/>
  <c r="H20" i="89" s="1"/>
  <c r="K62" i="139"/>
  <c r="F44" i="89" s="1"/>
  <c r="M62" i="139"/>
  <c r="H44" i="89" s="1"/>
  <c r="A24" i="89"/>
  <c r="A25" i="89" s="1"/>
  <c r="A26" i="89" s="1"/>
  <c r="A27" i="89" s="1"/>
  <c r="A32" i="89" s="1"/>
  <c r="A33" i="89" s="1"/>
  <c r="A35" i="89" s="1"/>
  <c r="A36" i="89" s="1"/>
  <c r="L66" i="86"/>
  <c r="L55" i="86"/>
  <c r="Q57" i="153"/>
  <c r="A37" i="153"/>
  <c r="F26" i="149"/>
  <c r="Q33" i="153"/>
  <c r="J56" i="153"/>
  <c r="H56" i="153"/>
  <c r="G28" i="147"/>
  <c r="B28" i="147"/>
  <c r="B32" i="147" s="1"/>
  <c r="B34" i="147" s="1"/>
  <c r="H15" i="149"/>
  <c r="H18" i="149" s="1"/>
  <c r="H22" i="149" s="1"/>
  <c r="I18" i="147"/>
  <c r="N41" i="139"/>
  <c r="I32" i="89" s="1"/>
  <c r="J28" i="139"/>
  <c r="E19" i="89" s="1"/>
  <c r="L28" i="90"/>
  <c r="G20" i="89" s="1"/>
  <c r="C18" i="145"/>
  <c r="D18" i="145" s="1"/>
  <c r="C54" i="145"/>
  <c r="H54" i="145" s="1"/>
  <c r="C52" i="145"/>
  <c r="H52" i="145" s="1"/>
  <c r="E14" i="145"/>
  <c r="A14" i="145"/>
  <c r="A18" i="145" s="1"/>
  <c r="A19" i="145" s="1"/>
  <c r="A20" i="145" s="1"/>
  <c r="A21" i="145" s="1"/>
  <c r="A22" i="145" s="1"/>
  <c r="A23" i="145" s="1"/>
  <c r="A24" i="145" s="1"/>
  <c r="A25" i="145" s="1"/>
  <c r="A26" i="145" s="1"/>
  <c r="A27" i="145" s="1"/>
  <c r="A28" i="145" s="1"/>
  <c r="A29" i="145" s="1"/>
  <c r="A30" i="145" s="1"/>
  <c r="A32" i="145" s="1"/>
  <c r="A34" i="145" s="1"/>
  <c r="C53" i="145"/>
  <c r="H53" i="145" s="1"/>
  <c r="C51" i="145"/>
  <c r="H51" i="145" s="1"/>
  <c r="C49" i="145"/>
  <c r="H49" i="145" s="1"/>
  <c r="E13" i="145"/>
  <c r="H44" i="145"/>
  <c r="I44" i="145" s="1"/>
  <c r="C45" i="145"/>
  <c r="H45" i="145" s="1"/>
  <c r="I45" i="145" s="1"/>
  <c r="C55" i="145"/>
  <c r="H55" i="145" s="1"/>
  <c r="C46" i="145"/>
  <c r="H46" i="145" s="1"/>
  <c r="C56" i="145"/>
  <c r="H56" i="145" s="1"/>
  <c r="C48" i="145"/>
  <c r="H48" i="145" s="1"/>
  <c r="C50" i="145"/>
  <c r="H50" i="145" s="1"/>
  <c r="D44" i="145"/>
  <c r="G142" i="86"/>
  <c r="G148" i="86" s="1"/>
  <c r="R35" i="129"/>
  <c r="B22" i="52"/>
  <c r="C44" i="89"/>
  <c r="I23" i="147"/>
  <c r="I26" i="147" s="1"/>
  <c r="I97" i="143"/>
  <c r="B20" i="52"/>
  <c r="M52" i="96"/>
  <c r="G14" i="86" s="1"/>
  <c r="L14" i="86" s="1"/>
  <c r="K16" i="147" s="1"/>
  <c r="I16" i="147" s="1"/>
  <c r="D47" i="89"/>
  <c r="D48" i="89" s="1"/>
  <c r="G90" i="86" s="1"/>
  <c r="P13" i="143"/>
  <c r="D19" i="89"/>
  <c r="D22" i="89" s="1"/>
  <c r="D23" i="89" s="1"/>
  <c r="D25" i="89" s="1"/>
  <c r="B36" i="147"/>
  <c r="B38" i="147" s="1"/>
  <c r="G38" i="147"/>
  <c r="I32" i="147"/>
  <c r="A37" i="89"/>
  <c r="A38" i="89" s="1"/>
  <c r="A44" i="89" s="1"/>
  <c r="A45" i="89" s="1"/>
  <c r="A47" i="89" s="1"/>
  <c r="A48" i="89" s="1"/>
  <c r="E18" i="86"/>
  <c r="B18" i="86"/>
  <c r="N62" i="139"/>
  <c r="I44" i="89" s="1"/>
  <c r="B26" i="149"/>
  <c r="B28" i="149" s="1"/>
  <c r="G34" i="147"/>
  <c r="C33" i="89"/>
  <c r="C45" i="89"/>
  <c r="L41" i="139"/>
  <c r="G32" i="89" s="1"/>
  <c r="N28" i="139"/>
  <c r="I19" i="89" s="1"/>
  <c r="E144" i="86"/>
  <c r="A34" i="39"/>
  <c r="A35" i="39" s="1"/>
  <c r="A36" i="39" s="1"/>
  <c r="A37" i="39" s="1"/>
  <c r="A38" i="39" s="1"/>
  <c r="A41" i="39" s="1"/>
  <c r="M41" i="139"/>
  <c r="H32" i="89" s="1"/>
  <c r="K28" i="139"/>
  <c r="F19" i="89" s="1"/>
  <c r="L28" i="139"/>
  <c r="G19" i="89" s="1"/>
  <c r="G56" i="153"/>
  <c r="L54" i="153"/>
  <c r="L56" i="153" s="1"/>
  <c r="Q51" i="153"/>
  <c r="S51" i="153" s="1"/>
  <c r="O135" i="143"/>
  <c r="O144" i="143"/>
  <c r="Q55" i="153"/>
  <c r="S55" i="153" s="1"/>
  <c r="E56" i="153"/>
  <c r="L62" i="139"/>
  <c r="G44" i="89" s="1"/>
  <c r="N41" i="90"/>
  <c r="I33" i="89" s="1"/>
  <c r="K54" i="78"/>
  <c r="G164" i="86" s="1"/>
  <c r="J62" i="139"/>
  <c r="E44" i="89" s="1"/>
  <c r="M28" i="139"/>
  <c r="H19" i="89" s="1"/>
  <c r="L58" i="86"/>
  <c r="L80" i="86" s="1"/>
  <c r="G80" i="86"/>
  <c r="G81" i="86"/>
  <c r="G75" i="86"/>
  <c r="F83" i="143"/>
  <c r="F84" i="143" s="1"/>
  <c r="F85" i="143" s="1"/>
  <c r="L206" i="86"/>
  <c r="J64" i="86"/>
  <c r="H26" i="89" s="1"/>
  <c r="B52" i="96"/>
  <c r="C52" i="96"/>
  <c r="O104" i="143"/>
  <c r="S33" i="153" l="1"/>
  <c r="H26" i="149" s="1"/>
  <c r="M36" i="147"/>
  <c r="M38" i="147" s="1"/>
  <c r="L26" i="149"/>
  <c r="L28" i="149" s="1"/>
  <c r="J26" i="149"/>
  <c r="J28" i="149" s="1"/>
  <c r="A38" i="153"/>
  <c r="A39" i="153" s="1"/>
  <c r="E88" i="86"/>
  <c r="D21" i="225"/>
  <c r="P44" i="225"/>
  <c r="S48" i="153"/>
  <c r="S57" i="153"/>
  <c r="R30" i="153"/>
  <c r="R32" i="153"/>
  <c r="F22" i="196"/>
  <c r="J22" i="196" s="1"/>
  <c r="N22" i="196" s="1"/>
  <c r="D22" i="196"/>
  <c r="P21" i="196"/>
  <c r="H28" i="149"/>
  <c r="H30" i="149" s="1"/>
  <c r="E47" i="89"/>
  <c r="E48" i="89" s="1"/>
  <c r="E50" i="89" s="1"/>
  <c r="E52" i="89" s="1"/>
  <c r="R14" i="153"/>
  <c r="R31" i="153"/>
  <c r="R16" i="153"/>
  <c r="R15" i="153"/>
  <c r="R27" i="153"/>
  <c r="R19" i="153"/>
  <c r="I47" i="89"/>
  <c r="I48" i="89" s="1"/>
  <c r="I50" i="89" s="1"/>
  <c r="G47" i="89"/>
  <c r="G48" i="89" s="1"/>
  <c r="G50" i="89" s="1"/>
  <c r="H35" i="89"/>
  <c r="H36" i="89" s="1"/>
  <c r="G35" i="89"/>
  <c r="G36" i="89" s="1"/>
  <c r="F30" i="129"/>
  <c r="R22" i="129" s="1"/>
  <c r="G172" i="86"/>
  <c r="G178" i="86" s="1"/>
  <c r="F22" i="89"/>
  <c r="F23" i="89" s="1"/>
  <c r="F25" i="89" s="1"/>
  <c r="F27" i="89" s="1"/>
  <c r="I22" i="89"/>
  <c r="I23" i="89" s="1"/>
  <c r="I25" i="89" s="1"/>
  <c r="D139" i="215"/>
  <c r="G138" i="215"/>
  <c r="E139" i="215"/>
  <c r="H138" i="215"/>
  <c r="H47" i="89"/>
  <c r="H48" i="89" s="1"/>
  <c r="H50" i="89" s="1"/>
  <c r="F47" i="89"/>
  <c r="F48" i="89" s="1"/>
  <c r="E22" i="89"/>
  <c r="E23" i="89" s="1"/>
  <c r="E25" i="89" s="1"/>
  <c r="E27" i="89" s="1"/>
  <c r="H22" i="89"/>
  <c r="H23" i="89" s="1"/>
  <c r="H25" i="89" s="1"/>
  <c r="H27" i="89" s="1"/>
  <c r="A37" i="145"/>
  <c r="C24" i="89"/>
  <c r="Q54" i="153"/>
  <c r="S54" i="153" s="1"/>
  <c r="M55" i="78"/>
  <c r="L107" i="86"/>
  <c r="G105" i="86"/>
  <c r="G108" i="86"/>
  <c r="L108" i="86" s="1"/>
  <c r="H18" i="145"/>
  <c r="I18" i="145" s="1"/>
  <c r="I35" i="89"/>
  <c r="I36" i="89" s="1"/>
  <c r="G165" i="86"/>
  <c r="G150" i="86"/>
  <c r="J23" i="149"/>
  <c r="L23" i="149" s="1"/>
  <c r="H13" i="145"/>
  <c r="H14" i="145" s="1"/>
  <c r="C19" i="145" s="1"/>
  <c r="H19" i="145" s="1"/>
  <c r="E17" i="129"/>
  <c r="R19" i="129" s="1"/>
  <c r="E17" i="143"/>
  <c r="P18" i="143" s="1"/>
  <c r="C61" i="143"/>
  <c r="Q30" i="143" s="1"/>
  <c r="B40" i="94"/>
  <c r="C61" i="129"/>
  <c r="S31" i="129" s="1"/>
  <c r="C53" i="94"/>
  <c r="G105" i="143"/>
  <c r="H105" i="143"/>
  <c r="D106" i="143"/>
  <c r="E89" i="86"/>
  <c r="R26" i="153"/>
  <c r="R28" i="153"/>
  <c r="R21" i="153"/>
  <c r="R17" i="153"/>
  <c r="R22" i="153"/>
  <c r="R25" i="153"/>
  <c r="R20" i="153"/>
  <c r="R18" i="153"/>
  <c r="R29" i="153"/>
  <c r="R23" i="153"/>
  <c r="R24" i="153"/>
  <c r="G22" i="89"/>
  <c r="G23" i="89" s="1"/>
  <c r="I46" i="145"/>
  <c r="I47" i="145" s="1"/>
  <c r="I48" i="145" s="1"/>
  <c r="I49" i="145" s="1"/>
  <c r="I50" i="145" s="1"/>
  <c r="I51" i="145" s="1"/>
  <c r="I52" i="145" s="1"/>
  <c r="I53" i="145" s="1"/>
  <c r="I54" i="145" s="1"/>
  <c r="I55" i="145" s="1"/>
  <c r="I56" i="145" s="1"/>
  <c r="I58" i="145" s="1"/>
  <c r="B34" i="145"/>
  <c r="D45" i="145"/>
  <c r="D46" i="145" s="1"/>
  <c r="D47" i="145" s="1"/>
  <c r="D48" i="145" s="1"/>
  <c r="D49" i="145" s="1"/>
  <c r="D50" i="145" s="1"/>
  <c r="D51" i="145" s="1"/>
  <c r="D52" i="145" s="1"/>
  <c r="D53" i="145" s="1"/>
  <c r="D54" i="145" s="1"/>
  <c r="D55" i="145" s="1"/>
  <c r="D56" i="145" s="1"/>
  <c r="D58" i="145" s="1"/>
  <c r="F83" i="129"/>
  <c r="F84" i="129" s="1"/>
  <c r="F85" i="129" s="1"/>
  <c r="D50" i="89"/>
  <c r="G88" i="86"/>
  <c r="A44" i="39"/>
  <c r="A45" i="39" s="1"/>
  <c r="A46" i="39" s="1"/>
  <c r="A47" i="39" s="1"/>
  <c r="A48" i="39" s="1"/>
  <c r="A50" i="39" s="1"/>
  <c r="E146" i="86" s="1"/>
  <c r="E145" i="86"/>
  <c r="B23" i="86"/>
  <c r="G20" i="147"/>
  <c r="A49" i="89"/>
  <c r="A50" i="89" s="1"/>
  <c r="A51" i="89" s="1"/>
  <c r="A52" i="89" s="1"/>
  <c r="A58" i="89" s="1"/>
  <c r="A59" i="89" s="1"/>
  <c r="A61" i="89" s="1"/>
  <c r="A62" i="89" s="1"/>
  <c r="F29" i="149"/>
  <c r="F31" i="149"/>
  <c r="D30" i="149"/>
  <c r="D32" i="149"/>
  <c r="D29" i="149"/>
  <c r="D31" i="149"/>
  <c r="B29" i="149"/>
  <c r="B30" i="149" s="1"/>
  <c r="B31" i="149" s="1"/>
  <c r="B32" i="149" s="1"/>
  <c r="F30" i="149"/>
  <c r="F32" i="149"/>
  <c r="Q56" i="153"/>
  <c r="S56" i="153" s="1"/>
  <c r="F28" i="149"/>
  <c r="P33" i="143"/>
  <c r="R34" i="129"/>
  <c r="G79" i="86"/>
  <c r="H37" i="89"/>
  <c r="G78" i="86"/>
  <c r="L54" i="86"/>
  <c r="G63" i="86"/>
  <c r="I36" i="147" l="1"/>
  <c r="K36" i="147" s="1"/>
  <c r="J32" i="149"/>
  <c r="J31" i="149"/>
  <c r="J29" i="149"/>
  <c r="J30" i="149"/>
  <c r="L32" i="149"/>
  <c r="L29" i="149"/>
  <c r="L31" i="149"/>
  <c r="L30" i="149"/>
  <c r="A41" i="153"/>
  <c r="A42" i="153" s="1"/>
  <c r="A43" i="153" s="1"/>
  <c r="A44" i="153" s="1"/>
  <c r="A45" i="153" s="1"/>
  <c r="A46" i="153" s="1"/>
  <c r="A48" i="153" s="1"/>
  <c r="I138" i="215"/>
  <c r="D22" i="225"/>
  <c r="P22" i="225" s="1"/>
  <c r="P21" i="225"/>
  <c r="F22" i="225"/>
  <c r="J22" i="225" s="1"/>
  <c r="N22" i="225" s="1"/>
  <c r="P22" i="196"/>
  <c r="F23" i="196"/>
  <c r="J23" i="196" s="1"/>
  <c r="N23" i="196" s="1"/>
  <c r="H26" i="196" s="1"/>
  <c r="D23" i="196"/>
  <c r="G179" i="86"/>
  <c r="G180" i="86"/>
  <c r="L180" i="86"/>
  <c r="B139" i="215"/>
  <c r="F139" i="215"/>
  <c r="C29" i="145"/>
  <c r="H29" i="145" s="1"/>
  <c r="I105" i="143"/>
  <c r="I19" i="145"/>
  <c r="I60" i="145"/>
  <c r="F49" i="89" s="1"/>
  <c r="F50" i="89" s="1"/>
  <c r="F52" i="89" s="1"/>
  <c r="A38" i="145"/>
  <c r="A39" i="145" s="1"/>
  <c r="E39" i="145"/>
  <c r="G109" i="86"/>
  <c r="C22" i="145"/>
  <c r="H22" i="145" s="1"/>
  <c r="C26" i="145"/>
  <c r="H26" i="145" s="1"/>
  <c r="C27" i="145"/>
  <c r="H27" i="145" s="1"/>
  <c r="C28" i="145"/>
  <c r="H28" i="145" s="1"/>
  <c r="C20" i="145"/>
  <c r="H20" i="145" s="1"/>
  <c r="C24" i="145"/>
  <c r="H24" i="145" s="1"/>
  <c r="C23" i="145"/>
  <c r="H23" i="145" s="1"/>
  <c r="C30" i="145"/>
  <c r="H30" i="145" s="1"/>
  <c r="C21" i="145"/>
  <c r="H21" i="145" s="1"/>
  <c r="C25" i="145"/>
  <c r="H25" i="145" s="1"/>
  <c r="D19" i="145"/>
  <c r="G83" i="86"/>
  <c r="B106" i="143"/>
  <c r="E106" i="143"/>
  <c r="F106" i="143" s="1"/>
  <c r="A18" i="74"/>
  <c r="H29" i="149"/>
  <c r="H31" i="149"/>
  <c r="H32" i="149"/>
  <c r="E90" i="86"/>
  <c r="L232" i="86"/>
  <c r="A63" i="89"/>
  <c r="A64" i="89" s="1"/>
  <c r="E91" i="86" s="1"/>
  <c r="B25" i="86"/>
  <c r="B26" i="86" s="1"/>
  <c r="G23" i="147"/>
  <c r="H38" i="89"/>
  <c r="H51" i="89"/>
  <c r="H52" i="89" s="1"/>
  <c r="L78" i="86"/>
  <c r="G111" i="86"/>
  <c r="A51" i="153" l="1"/>
  <c r="A52" i="153" s="1"/>
  <c r="A53" i="153" s="1"/>
  <c r="A54" i="153" s="1"/>
  <c r="A55" i="153" s="1"/>
  <c r="A56" i="153" s="1"/>
  <c r="A57" i="153" s="1"/>
  <c r="G36" i="147"/>
  <c r="D23" i="225"/>
  <c r="F23" i="225"/>
  <c r="J23" i="225" s="1"/>
  <c r="N23" i="225" s="1"/>
  <c r="H25" i="225" s="1"/>
  <c r="H25" i="196"/>
  <c r="H24" i="196"/>
  <c r="D24" i="196"/>
  <c r="F24" i="196"/>
  <c r="P23" i="196"/>
  <c r="F35" i="143"/>
  <c r="P24" i="143" s="1"/>
  <c r="F35" i="129"/>
  <c r="R25" i="129" s="1"/>
  <c r="I20" i="145"/>
  <c r="I21" i="145" s="1"/>
  <c r="I22" i="145" s="1"/>
  <c r="I23" i="145" s="1"/>
  <c r="I24" i="145" s="1"/>
  <c r="I25" i="145" s="1"/>
  <c r="I26" i="145" s="1"/>
  <c r="I27" i="145" s="1"/>
  <c r="I28" i="145" s="1"/>
  <c r="I29" i="145" s="1"/>
  <c r="I30" i="145" s="1"/>
  <c r="I32" i="145" s="1"/>
  <c r="D140" i="215"/>
  <c r="G139" i="215"/>
  <c r="H139" i="215"/>
  <c r="E140" i="215"/>
  <c r="D20" i="145"/>
  <c r="D21" i="145" s="1"/>
  <c r="D22" i="145" s="1"/>
  <c r="D23" i="145" s="1"/>
  <c r="D24" i="145" s="1"/>
  <c r="D25" i="145" s="1"/>
  <c r="D26" i="145" s="1"/>
  <c r="D27" i="145" s="1"/>
  <c r="D28" i="145" s="1"/>
  <c r="D29" i="145" s="1"/>
  <c r="D30" i="145" s="1"/>
  <c r="D32" i="145" s="1"/>
  <c r="E40" i="145"/>
  <c r="A40" i="145"/>
  <c r="A44" i="145" s="1"/>
  <c r="A45" i="145" s="1"/>
  <c r="A46" i="145" s="1"/>
  <c r="A47" i="145" s="1"/>
  <c r="A48" i="145" s="1"/>
  <c r="A49" i="145" s="1"/>
  <c r="A50" i="145" s="1"/>
  <c r="A51" i="145" s="1"/>
  <c r="A52" i="145" s="1"/>
  <c r="A53" i="145" s="1"/>
  <c r="A54" i="145" s="1"/>
  <c r="A55" i="145" s="1"/>
  <c r="A56" i="145" s="1"/>
  <c r="A58" i="145" s="1"/>
  <c r="E104" i="86"/>
  <c r="A25" i="74"/>
  <c r="E237" i="86"/>
  <c r="E238" i="86" s="1"/>
  <c r="H106" i="143"/>
  <c r="D107" i="143"/>
  <c r="E107" i="143" s="1"/>
  <c r="G106" i="143"/>
  <c r="N42" i="190"/>
  <c r="N45" i="190" s="1"/>
  <c r="L96" i="86" s="1"/>
  <c r="D29" i="86"/>
  <c r="E27" i="86"/>
  <c r="B27" i="86"/>
  <c r="B29" i="86" s="1"/>
  <c r="L111" i="86"/>
  <c r="I139" i="215" l="1"/>
  <c r="J24" i="196"/>
  <c r="N24" i="196" s="1"/>
  <c r="D24" i="225"/>
  <c r="F24" i="225"/>
  <c r="P23" i="225"/>
  <c r="H26" i="225"/>
  <c r="H24" i="225"/>
  <c r="P24" i="196"/>
  <c r="D25" i="196"/>
  <c r="F25" i="196"/>
  <c r="J25" i="196" s="1"/>
  <c r="N25" i="196" s="1"/>
  <c r="F140" i="215"/>
  <c r="B140" i="215"/>
  <c r="I34" i="145"/>
  <c r="G24" i="89" s="1"/>
  <c r="G25" i="89" s="1"/>
  <c r="I106" i="143"/>
  <c r="A60" i="145"/>
  <c r="C49" i="89" s="1"/>
  <c r="B60" i="145"/>
  <c r="E79" i="203"/>
  <c r="E81" i="203" s="1"/>
  <c r="E82" i="203" s="1"/>
  <c r="E53" i="203" s="1"/>
  <c r="E58" i="203" s="1"/>
  <c r="G235" i="86"/>
  <c r="G236" i="86"/>
  <c r="G237" i="86"/>
  <c r="B107" i="143"/>
  <c r="F107" i="143"/>
  <c r="A26" i="74"/>
  <c r="A27" i="74" s="1"/>
  <c r="A28" i="74" s="1"/>
  <c r="A29" i="74" s="1"/>
  <c r="A30" i="74" s="1"/>
  <c r="A31" i="74" s="1"/>
  <c r="A32" i="74" s="1"/>
  <c r="A33" i="74" s="1"/>
  <c r="A34" i="74" s="1"/>
  <c r="A35" i="74" s="1"/>
  <c r="A36" i="74" s="1"/>
  <c r="A37" i="74" s="1"/>
  <c r="A38" i="74" s="1"/>
  <c r="A39" i="74" s="1"/>
  <c r="A40" i="74" s="1"/>
  <c r="A41" i="74" s="1"/>
  <c r="A42" i="74" s="1"/>
  <c r="A43" i="74" s="1"/>
  <c r="A44" i="74" s="1"/>
  <c r="A45" i="74" s="1"/>
  <c r="A46" i="74" s="1"/>
  <c r="A47" i="74" s="1"/>
  <c r="A48" i="74" s="1"/>
  <c r="A49" i="74" s="1"/>
  <c r="A51" i="74" s="1"/>
  <c r="B30" i="86"/>
  <c r="D32" i="86"/>
  <c r="J24" i="225" l="1"/>
  <c r="N24" i="225" s="1"/>
  <c r="P24" i="225" s="1"/>
  <c r="D25" i="225"/>
  <c r="F25" i="225"/>
  <c r="J25" i="225" s="1"/>
  <c r="N25" i="225" s="1"/>
  <c r="P25" i="196"/>
  <c r="F26" i="196"/>
  <c r="J26" i="196" s="1"/>
  <c r="N26" i="196" s="1"/>
  <c r="D26" i="196"/>
  <c r="P26" i="196"/>
  <c r="E60" i="203"/>
  <c r="J235" i="86" s="1"/>
  <c r="L237" i="86"/>
  <c r="D18" i="129"/>
  <c r="R20" i="129" s="1"/>
  <c r="D18" i="143"/>
  <c r="F18" i="143" s="1"/>
  <c r="D17" i="129"/>
  <c r="D17" i="143"/>
  <c r="P17" i="143" s="1"/>
  <c r="D16" i="143"/>
  <c r="P15" i="143" s="1"/>
  <c r="D16" i="129"/>
  <c r="R16" i="129" s="1"/>
  <c r="D141" i="215"/>
  <c r="H140" i="215"/>
  <c r="G140" i="215"/>
  <c r="E141" i="215"/>
  <c r="E107" i="86"/>
  <c r="E106" i="86"/>
  <c r="E105" i="86"/>
  <c r="E108" i="86"/>
  <c r="L225" i="86"/>
  <c r="L236" i="86"/>
  <c r="G107" i="143"/>
  <c r="H107" i="143"/>
  <c r="D108" i="143"/>
  <c r="B108" i="143" s="1"/>
  <c r="B32" i="86"/>
  <c r="B33" i="86" s="1"/>
  <c r="C77" i="143"/>
  <c r="Q32" i="143" s="1"/>
  <c r="C77" i="129"/>
  <c r="S33" i="129" s="1"/>
  <c r="D26" i="225" l="1"/>
  <c r="F26" i="225"/>
  <c r="J26" i="225" s="1"/>
  <c r="N26" i="225" s="1"/>
  <c r="H29" i="225" s="1"/>
  <c r="P25" i="225"/>
  <c r="F27" i="196"/>
  <c r="D27" i="196"/>
  <c r="H27" i="196"/>
  <c r="H29" i="196"/>
  <c r="H28" i="196"/>
  <c r="F17" i="129"/>
  <c r="R18" i="129"/>
  <c r="P19" i="143"/>
  <c r="I140" i="215"/>
  <c r="F141" i="215"/>
  <c r="B141" i="215"/>
  <c r="E108" i="143"/>
  <c r="F108" i="143" s="1"/>
  <c r="G108" i="143" s="1"/>
  <c r="I107" i="143"/>
  <c r="F17" i="143"/>
  <c r="E16" i="129"/>
  <c r="F18" i="129"/>
  <c r="E16" i="143"/>
  <c r="F16" i="143" s="1"/>
  <c r="L235" i="86"/>
  <c r="L238" i="86" s="1"/>
  <c r="D109" i="143"/>
  <c r="H108" i="143"/>
  <c r="B35" i="86"/>
  <c r="B20" i="86"/>
  <c r="D27" i="225" l="1"/>
  <c r="F27" i="225"/>
  <c r="P26" i="225"/>
  <c r="H28" i="225"/>
  <c r="H27" i="225"/>
  <c r="F28" i="196"/>
  <c r="J28" i="196" s="1"/>
  <c r="N28" i="196" s="1"/>
  <c r="D28" i="196"/>
  <c r="J27" i="196"/>
  <c r="N27" i="196" s="1"/>
  <c r="P27" i="196" s="1"/>
  <c r="F16" i="129"/>
  <c r="F19" i="129" s="1"/>
  <c r="E24" i="129" s="1"/>
  <c r="R17" i="129"/>
  <c r="G141" i="215"/>
  <c r="D142" i="215"/>
  <c r="E142" i="215" s="1"/>
  <c r="H141" i="215"/>
  <c r="P16" i="143"/>
  <c r="I108" i="143"/>
  <c r="E109" i="143"/>
  <c r="F109" i="143" s="1"/>
  <c r="D110" i="143" s="1"/>
  <c r="B109" i="143"/>
  <c r="B54" i="86"/>
  <c r="G32" i="147"/>
  <c r="D276" i="86"/>
  <c r="F19" i="143"/>
  <c r="E24" i="143" s="1"/>
  <c r="G169" i="86"/>
  <c r="I141" i="215" l="1"/>
  <c r="J27" i="225"/>
  <c r="N27" i="225" s="1"/>
  <c r="P27" i="225" s="1"/>
  <c r="D28" i="225"/>
  <c r="F28" i="225"/>
  <c r="J28" i="225" s="1"/>
  <c r="N28" i="225" s="1"/>
  <c r="F29" i="196"/>
  <c r="J29" i="196" s="1"/>
  <c r="N29" i="196" s="1"/>
  <c r="H32" i="196" s="1"/>
  <c r="D29" i="196"/>
  <c r="H30" i="196"/>
  <c r="P28" i="196"/>
  <c r="H31" i="196"/>
  <c r="F142" i="215"/>
  <c r="B142" i="215"/>
  <c r="G109" i="143"/>
  <c r="E110" i="143"/>
  <c r="F110" i="143" s="1"/>
  <c r="H109" i="143"/>
  <c r="F31" i="129"/>
  <c r="F31" i="143"/>
  <c r="B55" i="86"/>
  <c r="B56" i="86" s="1"/>
  <c r="B110" i="143"/>
  <c r="D29" i="225" l="1"/>
  <c r="F29" i="225"/>
  <c r="J29" i="225" s="1"/>
  <c r="N29" i="225" s="1"/>
  <c r="H31" i="225" s="1"/>
  <c r="P28" i="225"/>
  <c r="P29" i="225"/>
  <c r="D30" i="196"/>
  <c r="F30" i="196"/>
  <c r="J30" i="196" s="1"/>
  <c r="N30" i="196" s="1"/>
  <c r="P30" i="196" s="1"/>
  <c r="P29" i="196"/>
  <c r="D143" i="215"/>
  <c r="H142" i="215"/>
  <c r="G142" i="215"/>
  <c r="E143" i="215"/>
  <c r="I109" i="143"/>
  <c r="E206" i="86"/>
  <c r="B57" i="86"/>
  <c r="B58" i="86" s="1"/>
  <c r="D111" i="143"/>
  <c r="E111" i="143" s="1"/>
  <c r="H110" i="143"/>
  <c r="G110" i="143"/>
  <c r="H32" i="225" l="1"/>
  <c r="H30" i="225"/>
  <c r="D30" i="225"/>
  <c r="F30" i="225"/>
  <c r="D31" i="196"/>
  <c r="F31" i="196"/>
  <c r="J31" i="196" s="1"/>
  <c r="N31" i="196" s="1"/>
  <c r="I142" i="215"/>
  <c r="B143" i="215"/>
  <c r="F143" i="215"/>
  <c r="B59" i="86"/>
  <c r="B60" i="86" s="1"/>
  <c r="I110" i="143"/>
  <c r="B111" i="143"/>
  <c r="F111" i="143"/>
  <c r="D31" i="225" l="1"/>
  <c r="F31" i="225"/>
  <c r="J31" i="225" s="1"/>
  <c r="N31" i="225" s="1"/>
  <c r="J30" i="225"/>
  <c r="N30" i="225" s="1"/>
  <c r="D32" i="196"/>
  <c r="F32" i="196"/>
  <c r="J32" i="196" s="1"/>
  <c r="N32" i="196" s="1"/>
  <c r="H37" i="196" s="1"/>
  <c r="P31" i="196"/>
  <c r="H143" i="215"/>
  <c r="D144" i="215"/>
  <c r="G143" i="215"/>
  <c r="G111" i="143"/>
  <c r="D112" i="143"/>
  <c r="E112" i="143" s="1"/>
  <c r="H111" i="143"/>
  <c r="B61" i="86"/>
  <c r="B62" i="86" s="1"/>
  <c r="P30" i="225" l="1"/>
  <c r="D32" i="225"/>
  <c r="F32" i="225"/>
  <c r="J32" i="225" s="1"/>
  <c r="N32" i="225" s="1"/>
  <c r="H36" i="225" s="1"/>
  <c r="P31" i="225"/>
  <c r="F35" i="196"/>
  <c r="P32" i="196"/>
  <c r="H36" i="196"/>
  <c r="H35" i="196"/>
  <c r="B144" i="215"/>
  <c r="E144" i="215"/>
  <c r="F144" i="215" s="1"/>
  <c r="I143" i="215"/>
  <c r="I111" i="143"/>
  <c r="B63" i="86"/>
  <c r="B65" i="86" s="1"/>
  <c r="B66" i="86" s="1"/>
  <c r="E63" i="86"/>
  <c r="B112" i="143"/>
  <c r="F112" i="143"/>
  <c r="H37" i="225" l="1"/>
  <c r="F35" i="225"/>
  <c r="P32" i="225"/>
  <c r="H35" i="225"/>
  <c r="F36" i="196"/>
  <c r="J35" i="196"/>
  <c r="N35" i="196" s="1"/>
  <c r="D145" i="215"/>
  <c r="E145" i="215" s="1"/>
  <c r="G144" i="215"/>
  <c r="H144" i="215"/>
  <c r="H112" i="143"/>
  <c r="D113" i="143"/>
  <c r="E113" i="143" s="1"/>
  <c r="G112" i="143"/>
  <c r="B67" i="86"/>
  <c r="B68" i="86" s="1"/>
  <c r="I144" i="215" l="1"/>
  <c r="F36" i="225"/>
  <c r="J35" i="225"/>
  <c r="N35" i="225" s="1"/>
  <c r="P35" i="196"/>
  <c r="J36" i="196"/>
  <c r="N36" i="196" s="1"/>
  <c r="P36" i="196" s="1"/>
  <c r="F37" i="196"/>
  <c r="F145" i="215"/>
  <c r="B145" i="215"/>
  <c r="E78" i="86"/>
  <c r="I112" i="143"/>
  <c r="B69" i="86"/>
  <c r="B70" i="86" s="1"/>
  <c r="B113" i="143"/>
  <c r="F113" i="143"/>
  <c r="P35" i="225" l="1"/>
  <c r="J36" i="225"/>
  <c r="N36" i="225" s="1"/>
  <c r="P36" i="225" s="1"/>
  <c r="F37" i="225"/>
  <c r="F38" i="196"/>
  <c r="F39" i="196" s="1"/>
  <c r="J37" i="196"/>
  <c r="N37" i="196" s="1"/>
  <c r="P37" i="196" s="1"/>
  <c r="H145" i="215"/>
  <c r="G145" i="215"/>
  <c r="D146" i="215"/>
  <c r="E146" i="215"/>
  <c r="D114" i="143"/>
  <c r="E114" i="143" s="1"/>
  <c r="H113" i="143"/>
  <c r="G113" i="143"/>
  <c r="B71" i="86"/>
  <c r="B72" i="86" s="1"/>
  <c r="E79" i="86"/>
  <c r="F38" i="225" l="1"/>
  <c r="F39" i="225" s="1"/>
  <c r="J37" i="225"/>
  <c r="N37" i="225" s="1"/>
  <c r="H38" i="225"/>
  <c r="J38" i="225" s="1"/>
  <c r="N38" i="225" s="1"/>
  <c r="P38" i="225" s="1"/>
  <c r="H38" i="196"/>
  <c r="J38" i="196" s="1"/>
  <c r="N38" i="196" s="1"/>
  <c r="P38" i="196" s="1"/>
  <c r="H39" i="196"/>
  <c r="J39" i="196" s="1"/>
  <c r="N39" i="196" s="1"/>
  <c r="F40" i="196"/>
  <c r="H40" i="196"/>
  <c r="F146" i="215"/>
  <c r="B146" i="215"/>
  <c r="I145" i="215"/>
  <c r="E80" i="86"/>
  <c r="I113" i="143"/>
  <c r="B73" i="86"/>
  <c r="B74" i="86" s="1"/>
  <c r="B114" i="143"/>
  <c r="F114" i="143"/>
  <c r="P39" i="196" l="1"/>
  <c r="H39" i="225"/>
  <c r="P37" i="225"/>
  <c r="H40" i="225"/>
  <c r="F40" i="225"/>
  <c r="J39" i="225"/>
  <c r="N39" i="225" s="1"/>
  <c r="J40" i="196"/>
  <c r="N40" i="196" s="1"/>
  <c r="P40" i="196"/>
  <c r="P43" i="196" s="1"/>
  <c r="P45" i="196" s="1"/>
  <c r="D147" i="215"/>
  <c r="G146" i="215"/>
  <c r="H146" i="215"/>
  <c r="I146" i="215" s="1"/>
  <c r="E147" i="215"/>
  <c r="E81" i="86"/>
  <c r="D115" i="143"/>
  <c r="E115" i="143" s="1"/>
  <c r="H114" i="143"/>
  <c r="G114" i="143"/>
  <c r="B75" i="86"/>
  <c r="B77" i="86" s="1"/>
  <c r="B78" i="86" s="1"/>
  <c r="E82" i="86"/>
  <c r="E75" i="86"/>
  <c r="J40" i="225" l="1"/>
  <c r="N40" i="225" s="1"/>
  <c r="P39" i="225"/>
  <c r="P40" i="225"/>
  <c r="P43" i="225" s="1"/>
  <c r="P45" i="225" s="1"/>
  <c r="F147" i="215"/>
  <c r="B147" i="215"/>
  <c r="B79" i="86"/>
  <c r="B115" i="143"/>
  <c r="F115" i="143"/>
  <c r="I114" i="143"/>
  <c r="D148" i="215" l="1"/>
  <c r="E148" i="215" s="1"/>
  <c r="H147" i="215"/>
  <c r="G147" i="215"/>
  <c r="G115" i="143"/>
  <c r="H115" i="143"/>
  <c r="D116" i="143"/>
  <c r="E116" i="143" s="1"/>
  <c r="C71" i="143"/>
  <c r="Q31" i="143" s="1"/>
  <c r="C71" i="129"/>
  <c r="S32" i="129" s="1"/>
  <c r="B80" i="86"/>
  <c r="B81" i="86" s="1"/>
  <c r="B82" i="86" s="1"/>
  <c r="E26" i="86"/>
  <c r="I147" i="215" l="1"/>
  <c r="B148" i="215"/>
  <c r="F148" i="215"/>
  <c r="F116" i="143"/>
  <c r="B116" i="143"/>
  <c r="B83" i="86"/>
  <c r="E83" i="86"/>
  <c r="I115" i="143"/>
  <c r="D149" i="215" l="1"/>
  <c r="G148" i="215"/>
  <c r="H148" i="215"/>
  <c r="I148" i="215" s="1"/>
  <c r="E149" i="215"/>
  <c r="D117" i="143"/>
  <c r="H116" i="143"/>
  <c r="G116" i="143"/>
  <c r="E117" i="143"/>
  <c r="B86" i="86"/>
  <c r="B87" i="86" s="1"/>
  <c r="F149" i="215" l="1"/>
  <c r="B149" i="215"/>
  <c r="I116" i="143"/>
  <c r="B88" i="86"/>
  <c r="B89" i="86" s="1"/>
  <c r="B90" i="86" s="1"/>
  <c r="B91" i="86" s="1"/>
  <c r="B92" i="86" s="1"/>
  <c r="B117" i="143"/>
  <c r="F117" i="143"/>
  <c r="H149" i="215" l="1"/>
  <c r="D150" i="215"/>
  <c r="G149" i="215"/>
  <c r="E150" i="215"/>
  <c r="E92" i="86"/>
  <c r="B94" i="86"/>
  <c r="B96" i="86" s="1"/>
  <c r="H117" i="143"/>
  <c r="D118" i="143"/>
  <c r="G117" i="143"/>
  <c r="F150" i="215" l="1"/>
  <c r="B150" i="215"/>
  <c r="I149" i="215"/>
  <c r="B98" i="86"/>
  <c r="B100" i="86" s="1"/>
  <c r="B101" i="86" s="1"/>
  <c r="B102" i="86" s="1"/>
  <c r="B103" i="86" s="1"/>
  <c r="B104" i="86" s="1"/>
  <c r="B105" i="86" s="1"/>
  <c r="B106" i="86" s="1"/>
  <c r="B107" i="86" s="1"/>
  <c r="B108" i="86" s="1"/>
  <c r="B109" i="86" s="1"/>
  <c r="I117" i="143"/>
  <c r="B118" i="143"/>
  <c r="E118" i="143"/>
  <c r="F118" i="143" s="1"/>
  <c r="G150" i="215" l="1"/>
  <c r="D151" i="215"/>
  <c r="H150" i="215"/>
  <c r="E151" i="215"/>
  <c r="B111" i="86"/>
  <c r="B113" i="86" s="1"/>
  <c r="C23" i="143" s="1"/>
  <c r="Q20" i="143" s="1"/>
  <c r="E109" i="86"/>
  <c r="H118" i="143"/>
  <c r="G118" i="143"/>
  <c r="D119" i="143"/>
  <c r="E119" i="143" s="1"/>
  <c r="C23" i="129" l="1"/>
  <c r="S21" i="129" s="1"/>
  <c r="I150" i="215"/>
  <c r="B151" i="215"/>
  <c r="F151" i="215"/>
  <c r="B128" i="86"/>
  <c r="D113" i="86"/>
  <c r="B119" i="143"/>
  <c r="F119" i="143"/>
  <c r="I118" i="143"/>
  <c r="H151" i="215" l="1"/>
  <c r="G151" i="215"/>
  <c r="D152" i="215"/>
  <c r="E152" i="215" s="1"/>
  <c r="B129" i="86"/>
  <c r="B130" i="86" s="1"/>
  <c r="B131" i="86" s="1"/>
  <c r="B132" i="86" s="1"/>
  <c r="B133" i="86" s="1"/>
  <c r="B134" i="86" s="1"/>
  <c r="E101" i="86" s="1"/>
  <c r="H119" i="143"/>
  <c r="D120" i="143"/>
  <c r="E120" i="143" s="1"/>
  <c r="G119" i="143"/>
  <c r="D15" i="149"/>
  <c r="D295" i="86"/>
  <c r="F152" i="215" l="1"/>
  <c r="B152" i="215"/>
  <c r="I151" i="215"/>
  <c r="E134" i="86"/>
  <c r="B120" i="143"/>
  <c r="F120" i="143"/>
  <c r="I119" i="143"/>
  <c r="D153" i="215" l="1"/>
  <c r="E153" i="215" s="1"/>
  <c r="G152" i="215"/>
  <c r="H152" i="215"/>
  <c r="I152" i="215" s="1"/>
  <c r="D289" i="86"/>
  <c r="B136" i="86"/>
  <c r="G120" i="143"/>
  <c r="D121" i="143"/>
  <c r="E121" i="143" s="1"/>
  <c r="H120" i="143"/>
  <c r="B153" i="215" l="1"/>
  <c r="F153" i="215"/>
  <c r="I120" i="143"/>
  <c r="B137" i="86"/>
  <c r="F121" i="143"/>
  <c r="B121" i="143"/>
  <c r="H153" i="215" l="1"/>
  <c r="G153" i="215"/>
  <c r="D154" i="215"/>
  <c r="E154" i="215"/>
  <c r="B138" i="86"/>
  <c r="B139" i="86" s="1"/>
  <c r="B140" i="86" s="1"/>
  <c r="B141" i="86" s="1"/>
  <c r="B142" i="86" s="1"/>
  <c r="E143" i="86"/>
  <c r="D122" i="143"/>
  <c r="G121" i="143"/>
  <c r="H121" i="143"/>
  <c r="I121" i="143" s="1"/>
  <c r="F154" i="215" l="1"/>
  <c r="B154" i="215"/>
  <c r="I153" i="215"/>
  <c r="E142" i="86"/>
  <c r="B122" i="143"/>
  <c r="B143" i="86"/>
  <c r="B144" i="86" s="1"/>
  <c r="B145" i="86" s="1"/>
  <c r="B146" i="86" s="1"/>
  <c r="B147" i="86" s="1"/>
  <c r="B148" i="86" s="1"/>
  <c r="E122" i="143"/>
  <c r="F122" i="143" s="1"/>
  <c r="H154" i="215" l="1"/>
  <c r="D155" i="215"/>
  <c r="G154" i="215"/>
  <c r="E155" i="215"/>
  <c r="E148" i="86"/>
  <c r="D123" i="143"/>
  <c r="E123" i="143" s="1"/>
  <c r="H122" i="143"/>
  <c r="G122" i="143"/>
  <c r="B150" i="86"/>
  <c r="E150" i="86"/>
  <c r="F155" i="215" l="1"/>
  <c r="B155" i="215"/>
  <c r="I154" i="215"/>
  <c r="I122" i="143"/>
  <c r="B152" i="86"/>
  <c r="B153" i="86" s="1"/>
  <c r="F123" i="143"/>
  <c r="B123" i="143"/>
  <c r="D156" i="215" l="1"/>
  <c r="H155" i="215"/>
  <c r="G155" i="215"/>
  <c r="E156" i="215"/>
  <c r="C55" i="129"/>
  <c r="C82" i="143"/>
  <c r="C82" i="129"/>
  <c r="C55" i="143"/>
  <c r="E30" i="86"/>
  <c r="B154" i="86"/>
  <c r="D124" i="143"/>
  <c r="H123" i="143"/>
  <c r="G123" i="143"/>
  <c r="I155" i="215" l="1"/>
  <c r="B156" i="215"/>
  <c r="F156" i="215"/>
  <c r="I123" i="143"/>
  <c r="S35" i="129"/>
  <c r="Q34" i="143"/>
  <c r="B155" i="86"/>
  <c r="Q29" i="143"/>
  <c r="S30" i="129"/>
  <c r="B124" i="143"/>
  <c r="E124" i="143"/>
  <c r="F124" i="143" s="1"/>
  <c r="D157" i="215" l="1"/>
  <c r="G156" i="215"/>
  <c r="H156" i="215"/>
  <c r="I156" i="215" s="1"/>
  <c r="E157" i="215"/>
  <c r="B156" i="86"/>
  <c r="E156" i="86"/>
  <c r="D125" i="143"/>
  <c r="E125" i="143"/>
  <c r="H124" i="143"/>
  <c r="G124" i="143"/>
  <c r="B158" i="86"/>
  <c r="B159" i="86" s="1"/>
  <c r="B160" i="86" s="1"/>
  <c r="F157" i="215" l="1"/>
  <c r="B157" i="215"/>
  <c r="I124" i="143"/>
  <c r="B161" i="86"/>
  <c r="B162" i="86" s="1"/>
  <c r="B163" i="86" s="1"/>
  <c r="B164" i="86" s="1"/>
  <c r="B165" i="86" s="1"/>
  <c r="B125" i="143"/>
  <c r="F125" i="143"/>
  <c r="H157" i="215" l="1"/>
  <c r="D158" i="215"/>
  <c r="G157" i="215"/>
  <c r="E158" i="215"/>
  <c r="E165" i="86"/>
  <c r="B167" i="86"/>
  <c r="B168" i="86" s="1"/>
  <c r="H125" i="143"/>
  <c r="D126" i="143"/>
  <c r="E126" i="143" s="1"/>
  <c r="G125" i="143"/>
  <c r="I157" i="215" l="1"/>
  <c r="F158" i="215"/>
  <c r="B158" i="215"/>
  <c r="I125" i="143"/>
  <c r="F126" i="143"/>
  <c r="B126" i="143"/>
  <c r="C30" i="129"/>
  <c r="S22" i="129" s="1"/>
  <c r="C30" i="143"/>
  <c r="Q21" i="143" s="1"/>
  <c r="D315" i="86"/>
  <c r="D172" i="86"/>
  <c r="B169" i="86"/>
  <c r="G158" i="215" l="1"/>
  <c r="D159" i="215"/>
  <c r="H158" i="215"/>
  <c r="I158" i="215" s="1"/>
  <c r="E159" i="215"/>
  <c r="E160" i="215" s="1"/>
  <c r="B170" i="86"/>
  <c r="B171" i="86" s="1"/>
  <c r="B172" i="86" s="1"/>
  <c r="H126" i="143"/>
  <c r="D127" i="143"/>
  <c r="E127" i="143" s="1"/>
  <c r="G126" i="143"/>
  <c r="I126" i="143" l="1"/>
  <c r="B159" i="215"/>
  <c r="F159" i="215"/>
  <c r="F127" i="143"/>
  <c r="B127" i="143"/>
  <c r="B173" i="86"/>
  <c r="B174" i="86" s="1"/>
  <c r="B175" i="86" s="1"/>
  <c r="B177" i="86" s="1"/>
  <c r="E180" i="86" l="1"/>
  <c r="H159" i="215"/>
  <c r="G159" i="215"/>
  <c r="E179" i="86"/>
  <c r="H127" i="143"/>
  <c r="D128" i="143"/>
  <c r="G127" i="143"/>
  <c r="B178" i="86"/>
  <c r="E178" i="86"/>
  <c r="I159" i="215" l="1"/>
  <c r="B128" i="143"/>
  <c r="I127" i="143"/>
  <c r="C33" i="129"/>
  <c r="S23" i="129" s="1"/>
  <c r="C33" i="143"/>
  <c r="Q22" i="143" s="1"/>
  <c r="B179" i="86"/>
  <c r="E128" i="143"/>
  <c r="F128" i="143" s="1"/>
  <c r="D129" i="143" l="1"/>
  <c r="G128" i="143"/>
  <c r="H128" i="143"/>
  <c r="C34" i="143"/>
  <c r="Q23" i="143" s="1"/>
  <c r="C34" i="129"/>
  <c r="S24" i="129" s="1"/>
  <c r="B180" i="86"/>
  <c r="C35" i="143" l="1"/>
  <c r="Q24" i="143" s="1"/>
  <c r="B182" i="86"/>
  <c r="C35" i="129"/>
  <c r="S25" i="129" s="1"/>
  <c r="E182" i="86"/>
  <c r="I128" i="143"/>
  <c r="B129" i="143"/>
  <c r="E129" i="143"/>
  <c r="F129" i="143" s="1"/>
  <c r="G129" i="143" l="1"/>
  <c r="D130" i="143"/>
  <c r="H129" i="143"/>
  <c r="C44" i="129"/>
  <c r="S28" i="129" s="1"/>
  <c r="B184" i="86"/>
  <c r="E33" i="86" s="1"/>
  <c r="C44" i="143"/>
  <c r="Q27" i="143" s="1"/>
  <c r="I129" i="143" l="1"/>
  <c r="B130" i="143"/>
  <c r="C43" i="143"/>
  <c r="Q26" i="143" s="1"/>
  <c r="C43" i="129"/>
  <c r="S27" i="129" s="1"/>
  <c r="B186" i="86"/>
  <c r="E177" i="86"/>
  <c r="E130" i="143"/>
  <c r="F130" i="143" s="1"/>
  <c r="D131" i="143" l="1"/>
  <c r="E131" i="143"/>
  <c r="G130" i="143"/>
  <c r="H130" i="143"/>
  <c r="B188" i="86"/>
  <c r="D293" i="86"/>
  <c r="D189" i="86"/>
  <c r="I130" i="143" l="1"/>
  <c r="B189" i="86"/>
  <c r="B191" i="86" s="1"/>
  <c r="F131" i="143"/>
  <c r="B131" i="143"/>
  <c r="C45" i="143" l="1"/>
  <c r="Q28" i="143" s="1"/>
  <c r="C45" i="129"/>
  <c r="S29" i="129" s="1"/>
  <c r="B38" i="94"/>
  <c r="B193" i="86"/>
  <c r="E193" i="86"/>
  <c r="H131" i="143"/>
  <c r="G131" i="143"/>
  <c r="D132" i="143"/>
  <c r="E132" i="143" s="1"/>
  <c r="I131" i="143" l="1"/>
  <c r="F132" i="143"/>
  <c r="B132" i="143"/>
  <c r="C42" i="143"/>
  <c r="Q25" i="143" s="1"/>
  <c r="E12" i="86"/>
  <c r="B206" i="86"/>
  <c r="C42" i="129"/>
  <c r="S26" i="129" s="1"/>
  <c r="B207" i="86" l="1"/>
  <c r="B208" i="86" s="1"/>
  <c r="B209" i="86" s="1"/>
  <c r="E56" i="86" s="1"/>
  <c r="G132" i="143"/>
  <c r="H132" i="143"/>
  <c r="D133" i="143"/>
  <c r="E209" i="86" l="1"/>
  <c r="B133" i="143"/>
  <c r="I132" i="143"/>
  <c r="E133" i="143"/>
  <c r="F133" i="143" s="1"/>
  <c r="E211" i="86"/>
  <c r="B211" i="86"/>
  <c r="B213" i="86" s="1"/>
  <c r="B214" i="86" s="1"/>
  <c r="B215" i="86" s="1"/>
  <c r="B216" i="86" s="1"/>
  <c r="G133" i="143" l="1"/>
  <c r="D134" i="143"/>
  <c r="E134" i="143" s="1"/>
  <c r="H133" i="143"/>
  <c r="I133" i="143" s="1"/>
  <c r="B217" i="86" l="1"/>
  <c r="B218" i="86" s="1"/>
  <c r="B219" i="86" s="1"/>
  <c r="B221" i="86" s="1"/>
  <c r="B224" i="86" s="1"/>
  <c r="B225" i="86" s="1"/>
  <c r="F134" i="143"/>
  <c r="B134" i="143"/>
  <c r="B226" i="86" l="1"/>
  <c r="B227" i="86" s="1"/>
  <c r="B228" i="86" s="1"/>
  <c r="E219" i="86"/>
  <c r="B229" i="86"/>
  <c r="B230" i="86" s="1"/>
  <c r="B231" i="86" s="1"/>
  <c r="B232" i="86" s="1"/>
  <c r="D237" i="86" s="1"/>
  <c r="D135" i="143"/>
  <c r="E135" i="143" s="1"/>
  <c r="G134" i="143"/>
  <c r="H134" i="143"/>
  <c r="I134" i="143" l="1"/>
  <c r="E232" i="86"/>
  <c r="B135" i="143"/>
  <c r="F135" i="143"/>
  <c r="B234" i="86"/>
  <c r="B235" i="86" s="1"/>
  <c r="D136" i="143" l="1"/>
  <c r="H135" i="143"/>
  <c r="G135" i="143"/>
  <c r="B236" i="86"/>
  <c r="D331" i="86" s="1"/>
  <c r="D229" i="86" l="1"/>
  <c r="B237" i="86"/>
  <c r="I135" i="143"/>
  <c r="B136" i="143"/>
  <c r="E136" i="143"/>
  <c r="F136" i="143" s="1"/>
  <c r="H136" i="143" l="1"/>
  <c r="G136" i="143"/>
  <c r="D137" i="143"/>
  <c r="E137" i="143"/>
  <c r="B238" i="86"/>
  <c r="B241" i="86" s="1"/>
  <c r="B242" i="86" s="1"/>
  <c r="B243" i="86" s="1"/>
  <c r="B244" i="86" s="1"/>
  <c r="B245" i="86" s="1"/>
  <c r="C11" i="143"/>
  <c r="Q13" i="143" s="1"/>
  <c r="C11" i="129"/>
  <c r="S14" i="129" s="1"/>
  <c r="C14" i="129"/>
  <c r="D238" i="86"/>
  <c r="C14" i="143"/>
  <c r="B246" i="86" l="1"/>
  <c r="B247" i="86" s="1"/>
  <c r="B248" i="86" s="1"/>
  <c r="B249" i="86" s="1"/>
  <c r="E249" i="86"/>
  <c r="B79" i="203"/>
  <c r="F137" i="143"/>
  <c r="B137" i="143"/>
  <c r="E184" i="86"/>
  <c r="D170" i="86"/>
  <c r="I136" i="143"/>
  <c r="B251" i="86" l="1"/>
  <c r="B252" i="86" s="1"/>
  <c r="D254" i="86"/>
  <c r="G137" i="143"/>
  <c r="H137" i="143"/>
  <c r="I137" i="143" s="1"/>
  <c r="D138" i="143"/>
  <c r="E138" i="143" s="1"/>
  <c r="B253" i="86" l="1"/>
  <c r="F138" i="143"/>
  <c r="B138" i="143"/>
  <c r="B254" i="86" l="1"/>
  <c r="D246" i="86"/>
  <c r="H138" i="143"/>
  <c r="G138" i="143"/>
  <c r="D139" i="143"/>
  <c r="E139" i="143" s="1"/>
  <c r="B255" i="86" l="1"/>
  <c r="D255" i="86"/>
  <c r="F139" i="143"/>
  <c r="B139" i="143"/>
  <c r="I138" i="143"/>
  <c r="H139" i="143" l="1"/>
  <c r="G139" i="143"/>
  <c r="D140" i="143"/>
  <c r="E140" i="143" s="1"/>
  <c r="F140" i="143" l="1"/>
  <c r="B140" i="143"/>
  <c r="I139" i="143"/>
  <c r="D141" i="143" l="1"/>
  <c r="E141" i="143"/>
  <c r="H140" i="143"/>
  <c r="G140" i="143"/>
  <c r="I140" i="143" l="1"/>
  <c r="B141" i="143"/>
  <c r="F141" i="143"/>
  <c r="H141" i="143" l="1"/>
  <c r="G141" i="143"/>
  <c r="D142" i="143"/>
  <c r="B142" i="143" l="1"/>
  <c r="I141" i="143"/>
  <c r="E142" i="143"/>
  <c r="F142" i="143" s="1"/>
  <c r="D143" i="143" l="1"/>
  <c r="H142" i="143"/>
  <c r="E143" i="143"/>
  <c r="G142" i="143"/>
  <c r="I142" i="143" l="1"/>
  <c r="B143" i="143"/>
  <c r="F143" i="143"/>
  <c r="H143" i="143" l="1"/>
  <c r="G143" i="143"/>
  <c r="D144" i="143"/>
  <c r="E144" i="143" s="1"/>
  <c r="F144" i="143" l="1"/>
  <c r="B144" i="143"/>
  <c r="I143" i="143"/>
  <c r="H144" i="143" l="1"/>
  <c r="D145" i="143"/>
  <c r="G144" i="143"/>
  <c r="E145" i="143"/>
  <c r="F145" i="143" l="1"/>
  <c r="B145" i="143"/>
  <c r="I144" i="143"/>
  <c r="G145" i="143" l="1"/>
  <c r="H145" i="143"/>
  <c r="I145" i="143" s="1"/>
  <c r="D146" i="143"/>
  <c r="E146" i="143" s="1"/>
  <c r="F146" i="143" l="1"/>
  <c r="B146" i="143"/>
  <c r="D147" i="143" l="1"/>
  <c r="E147" i="143"/>
  <c r="H146" i="143"/>
  <c r="G146" i="143"/>
  <c r="I146" i="143" l="1"/>
  <c r="B147" i="143"/>
  <c r="F147" i="143"/>
  <c r="G147" i="143" l="1"/>
  <c r="H147" i="143"/>
  <c r="I147" i="143" s="1"/>
  <c r="D148" i="143"/>
  <c r="E148" i="143" s="1"/>
  <c r="F148" i="143" l="1"/>
  <c r="B148" i="143"/>
  <c r="D149" i="143" l="1"/>
  <c r="E149" i="143" s="1"/>
  <c r="G148" i="143"/>
  <c r="H148" i="143"/>
  <c r="I148" i="143" s="1"/>
  <c r="B149" i="143" l="1"/>
  <c r="F149" i="143"/>
  <c r="G149" i="143" l="1"/>
  <c r="H149" i="143"/>
  <c r="D150" i="143"/>
  <c r="I149" i="143" l="1"/>
  <c r="B150" i="143"/>
  <c r="E150" i="143"/>
  <c r="F150" i="143" s="1"/>
  <c r="D151" i="143" l="1"/>
  <c r="E151" i="143"/>
  <c r="H150" i="143"/>
  <c r="G150" i="143"/>
  <c r="I150" i="143" l="1"/>
  <c r="F151" i="143"/>
  <c r="B151" i="143"/>
  <c r="G151" i="143" l="1"/>
  <c r="H151" i="143"/>
  <c r="I151" i="143" s="1"/>
  <c r="D152" i="143"/>
  <c r="B152" i="143" l="1"/>
  <c r="E152" i="143"/>
  <c r="F152" i="143" s="1"/>
  <c r="H152" i="143" l="1"/>
  <c r="G152" i="143"/>
  <c r="D153" i="143"/>
  <c r="B153" i="143" l="1"/>
  <c r="E153" i="143"/>
  <c r="F153" i="143" s="1"/>
  <c r="I152" i="143"/>
  <c r="G153" i="143" l="1"/>
  <c r="D154" i="143"/>
  <c r="H153" i="143"/>
  <c r="I153" i="143" s="1"/>
  <c r="E154" i="143"/>
  <c r="F154" i="143" l="1"/>
  <c r="B154" i="143"/>
  <c r="D155" i="143" l="1"/>
  <c r="E155" i="143" s="1"/>
  <c r="H154" i="143"/>
  <c r="G154" i="143"/>
  <c r="I154" i="143" l="1"/>
  <c r="B155" i="143"/>
  <c r="F155" i="143"/>
  <c r="H155" i="143" l="1"/>
  <c r="G155" i="143"/>
  <c r="D156" i="143"/>
  <c r="B156" i="143" l="1"/>
  <c r="E156" i="143"/>
  <c r="F156" i="143" s="1"/>
  <c r="I155" i="143"/>
  <c r="D157" i="143" l="1"/>
  <c r="G156" i="143"/>
  <c r="H156" i="143"/>
  <c r="E157" i="143"/>
  <c r="I156" i="143" l="1"/>
  <c r="B157" i="143"/>
  <c r="F157" i="143"/>
  <c r="G157" i="143" l="1"/>
  <c r="D158" i="143"/>
  <c r="H157" i="143"/>
  <c r="E158" i="143"/>
  <c r="I157" i="143" l="1"/>
  <c r="F158" i="143"/>
  <c r="B158" i="143"/>
  <c r="D159" i="143" l="1"/>
  <c r="H158" i="143"/>
  <c r="G158" i="143"/>
  <c r="B159" i="143" l="1"/>
  <c r="I158" i="143"/>
  <c r="E159" i="143"/>
  <c r="E160" i="143" s="1"/>
  <c r="F159" i="143" l="1"/>
  <c r="G159" i="143" s="1"/>
  <c r="H159" i="143" l="1"/>
  <c r="I159" i="143"/>
  <c r="V38" i="232"/>
  <c r="T38" i="232" l="1"/>
  <c r="R38" i="232"/>
  <c r="H41" i="139" l="1"/>
  <c r="G22" i="193"/>
  <c r="D32" i="89" l="1"/>
  <c r="D35" i="89" s="1"/>
  <c r="D36" i="89" s="1"/>
  <c r="G89" i="86" s="1"/>
  <c r="G92" i="86" s="1"/>
  <c r="G113" i="86" s="1"/>
  <c r="G184" i="86" s="1"/>
  <c r="G177" i="86" s="1"/>
  <c r="G182" i="86" s="1"/>
  <c r="G188" i="86" s="1"/>
  <c r="I38" i="94" s="1"/>
  <c r="I41" i="94" s="1"/>
  <c r="I43" i="94" s="1"/>
  <c r="I45" i="94" s="1"/>
  <c r="D22" i="193"/>
  <c r="G23" i="193"/>
  <c r="D15" i="193"/>
  <c r="G17" i="193"/>
  <c r="G19" i="193" l="1"/>
  <c r="D17" i="193"/>
  <c r="D47" i="193" s="1"/>
  <c r="D49" i="193" s="1"/>
  <c r="L174" i="86" s="1"/>
  <c r="L179" i="86" s="1"/>
  <c r="I46" i="94"/>
  <c r="I48" i="94" s="1"/>
  <c r="G191" i="86" s="1"/>
  <c r="G193" i="86" s="1"/>
  <c r="D23" i="193"/>
  <c r="F34" i="143" l="1"/>
  <c r="P23" i="143" s="1"/>
  <c r="F34" i="129"/>
  <c r="R24" i="129" s="1"/>
  <c r="D19" i="193"/>
  <c r="G26" i="193"/>
  <c r="K35" i="139" l="1"/>
  <c r="K41" i="90"/>
  <c r="F33" i="89" s="1"/>
  <c r="K41" i="139"/>
  <c r="F32" i="89" s="1"/>
  <c r="D26" i="193"/>
  <c r="G27" i="193"/>
  <c r="J41" i="90" s="1"/>
  <c r="E33" i="89" s="1"/>
  <c r="D25" i="193"/>
  <c r="F35" i="89" l="1"/>
  <c r="F36" i="89" s="1"/>
  <c r="F38" i="89" s="1"/>
  <c r="D27" i="193"/>
  <c r="J35" i="139"/>
  <c r="J41" i="139" s="1"/>
  <c r="E32" i="89" s="1"/>
  <c r="E35" i="89" s="1"/>
  <c r="E36" i="89" s="1"/>
  <c r="E38" i="89" s="1"/>
  <c r="G44" i="186" l="1"/>
  <c r="L209" i="86" l="1"/>
  <c r="L211" i="86" l="1"/>
  <c r="J57" i="86" s="1"/>
  <c r="L57" i="86" s="1"/>
  <c r="L56" i="86"/>
  <c r="J153" i="86"/>
  <c r="L153" i="86" s="1"/>
  <c r="F55" i="143" s="1"/>
  <c r="P29" i="143" s="1"/>
  <c r="J215" i="86"/>
  <c r="L215" i="86" s="1"/>
  <c r="L219" i="86" s="1"/>
  <c r="L221" i="86" s="1"/>
  <c r="J105" i="86" s="1"/>
  <c r="L105" i="86" s="1"/>
  <c r="J144" i="86"/>
  <c r="L144" i="86" s="1"/>
  <c r="J134" i="86"/>
  <c r="L134" i="86" s="1"/>
  <c r="L101" i="86" s="1"/>
  <c r="J102" i="86"/>
  <c r="L102" i="86" s="1"/>
  <c r="F55" i="129" l="1"/>
  <c r="R30" i="129" s="1"/>
  <c r="J60" i="86"/>
  <c r="L60" i="86" s="1"/>
  <c r="J62" i="86"/>
  <c r="L62" i="86" s="1"/>
  <c r="J73" i="86"/>
  <c r="L73" i="86" s="1"/>
  <c r="J155" i="86"/>
  <c r="L155" i="86" s="1"/>
  <c r="J72" i="86"/>
  <c r="L72" i="86" s="1"/>
  <c r="J61" i="86"/>
  <c r="L61" i="86" s="1"/>
  <c r="I26" i="89"/>
  <c r="I27" i="89" s="1"/>
  <c r="J154" i="86"/>
  <c r="L154" i="86" s="1"/>
  <c r="L156" i="86" s="1"/>
  <c r="J147" i="86"/>
  <c r="L147" i="86" s="1"/>
  <c r="J160" i="86"/>
  <c r="L160" i="86" s="1"/>
  <c r="J142" i="86"/>
  <c r="L142" i="86" s="1"/>
  <c r="J98" i="86"/>
  <c r="L98" i="86" s="1"/>
  <c r="J103" i="86"/>
  <c r="L103" i="86" s="1"/>
  <c r="J74" i="86"/>
  <c r="L74" i="86" s="1"/>
  <c r="I37" i="89" l="1"/>
  <c r="I51" i="89" s="1"/>
  <c r="I52" i="89" s="1"/>
  <c r="L81" i="86"/>
  <c r="L63" i="86"/>
  <c r="J63" i="86" s="1"/>
  <c r="J145" i="86" s="1"/>
  <c r="L145" i="86" s="1"/>
  <c r="L82" i="86"/>
  <c r="I38" i="89"/>
  <c r="J162" i="86" l="1"/>
  <c r="L162" i="86" s="1"/>
  <c r="J178" i="86"/>
  <c r="L178" i="86" s="1"/>
  <c r="F33" i="129" s="1"/>
  <c r="R23" i="129" s="1"/>
  <c r="J164" i="86"/>
  <c r="L164" i="86" s="1"/>
  <c r="G26" i="89"/>
  <c r="G37" i="89" s="1"/>
  <c r="J104" i="86"/>
  <c r="L104" i="86" s="1"/>
  <c r="J143" i="86"/>
  <c r="L143" i="86" s="1"/>
  <c r="L148" i="86" s="1"/>
  <c r="L150" i="86" s="1"/>
  <c r="J106" i="86"/>
  <c r="L106" i="86" s="1"/>
  <c r="L109" i="86" l="1"/>
  <c r="L165" i="86"/>
  <c r="F33" i="143"/>
  <c r="P22" i="143" s="1"/>
  <c r="G27" i="89"/>
  <c r="J27" i="89" s="1"/>
  <c r="L88" i="86" s="1"/>
  <c r="G38" i="89"/>
  <c r="J38" i="89" s="1"/>
  <c r="L89" i="86" s="1"/>
  <c r="G51" i="89"/>
  <c r="G63" i="89" l="1"/>
  <c r="G64" i="89" s="1"/>
  <c r="J64" i="89" s="1"/>
  <c r="L91" i="86" s="1"/>
  <c r="G52" i="89"/>
  <c r="J52" i="89" s="1"/>
  <c r="L90" i="86" s="1"/>
  <c r="L92" i="86" l="1"/>
  <c r="K38" i="232" l="1"/>
  <c r="L249" i="86" l="1"/>
  <c r="E254" i="86" s="1"/>
  <c r="E255" i="86" l="1"/>
  <c r="G254" i="86" l="1"/>
  <c r="L254" i="86" s="1"/>
  <c r="G252" i="86"/>
  <c r="G253" i="86"/>
  <c r="L253" i="86" s="1"/>
  <c r="L252" i="86" l="1"/>
  <c r="L255" i="86" s="1"/>
  <c r="L249" i="204" l="1"/>
  <c r="E254" i="204" s="1"/>
  <c r="E255" i="204" l="1"/>
  <c r="G254" i="204" l="1"/>
  <c r="L254" i="204" s="1"/>
  <c r="G252" i="204"/>
  <c r="G253" i="204"/>
  <c r="L253" i="204" s="1"/>
  <c r="L252" i="204" l="1"/>
  <c r="L255" i="204" s="1"/>
  <c r="L184" i="204" s="1"/>
  <c r="F43" i="216" l="1"/>
  <c r="R27" i="216" s="1"/>
  <c r="L177" i="204"/>
  <c r="L182" i="204" s="1"/>
  <c r="F43" i="215"/>
  <c r="P26" i="215" s="1"/>
  <c r="F44" i="215" l="1"/>
  <c r="P27" i="215" s="1"/>
  <c r="L188" i="204"/>
  <c r="F44" i="216"/>
  <c r="R28" i="216" s="1"/>
  <c r="K38" i="220" l="1"/>
  <c r="K41" i="220" s="1"/>
  <c r="K43" i="220" s="1"/>
  <c r="K45" i="220" s="1"/>
  <c r="K46" i="220" s="1"/>
  <c r="K48" i="220" s="1"/>
  <c r="L191" i="204" s="1"/>
  <c r="L193" i="204" s="1"/>
  <c r="F42" i="215" l="1"/>
  <c r="L12" i="204"/>
  <c r="F42" i="216"/>
  <c r="F45" i="216"/>
  <c r="R29" i="216" s="1"/>
  <c r="F45" i="215"/>
  <c r="P28" i="215" s="1"/>
  <c r="F46" i="216" l="1"/>
  <c r="F49" i="216" s="1"/>
  <c r="F52" i="216" s="1"/>
  <c r="F59" i="216" s="1"/>
  <c r="F62" i="216" s="1"/>
  <c r="F64" i="216" s="1"/>
  <c r="F66" i="216" s="1"/>
  <c r="F67" i="216" s="1"/>
  <c r="F68" i="216" s="1"/>
  <c r="F53" i="216" s="1"/>
  <c r="F54" i="216" s="1"/>
  <c r="R26" i="216"/>
  <c r="M14" i="147"/>
  <c r="M20" i="147" s="1"/>
  <c r="M28" i="147" s="1"/>
  <c r="L33" i="204"/>
  <c r="L30" i="204"/>
  <c r="L18" i="204"/>
  <c r="L26" i="204"/>
  <c r="L27" i="204" s="1"/>
  <c r="P25" i="215"/>
  <c r="F46" i="215"/>
  <c r="F49" i="215" s="1"/>
  <c r="F52" i="215" s="1"/>
  <c r="F59" i="215" s="1"/>
  <c r="F62" i="215" s="1"/>
  <c r="F64" i="215" s="1"/>
  <c r="F66" i="215" s="1"/>
  <c r="F67" i="215" s="1"/>
  <c r="F68" i="215" s="1"/>
  <c r="F53" i="215" s="1"/>
  <c r="F54" i="215" s="1"/>
  <c r="M34" i="147" l="1"/>
  <c r="F56" i="215"/>
  <c r="F75" i="215" s="1"/>
  <c r="F76" i="215" s="1"/>
  <c r="F78" i="215" s="1"/>
  <c r="F72" i="215"/>
  <c r="F73" i="215" s="1"/>
  <c r="F77" i="216"/>
  <c r="F77" i="215"/>
  <c r="F56" i="216"/>
  <c r="F75" i="216" s="1"/>
  <c r="F76" i="216" s="1"/>
  <c r="F72" i="216"/>
  <c r="F73" i="216" s="1"/>
  <c r="F78" i="216" l="1"/>
  <c r="B13" i="224"/>
  <c r="F13" i="224" s="1"/>
  <c r="P44" i="224" s="1"/>
  <c r="I99" i="215"/>
  <c r="P32" i="215"/>
  <c r="J100" i="216"/>
  <c r="J101" i="216" s="1"/>
  <c r="R33" i="216"/>
  <c r="D21" i="224" l="1"/>
  <c r="D22" i="224"/>
  <c r="P22" i="224" s="1"/>
  <c r="P21" i="224"/>
  <c r="F22" i="224"/>
  <c r="J22" i="224" s="1"/>
  <c r="N22" i="224" s="1"/>
  <c r="G104" i="215"/>
  <c r="G160" i="215" s="1"/>
  <c r="I100" i="215"/>
  <c r="H104" i="215" s="1"/>
  <c r="I104" i="215" l="1"/>
  <c r="I160" i="215" s="1"/>
  <c r="H160" i="215"/>
  <c r="D23" i="224"/>
  <c r="F23" i="224"/>
  <c r="J23" i="224" s="1"/>
  <c r="N23" i="224" s="1"/>
  <c r="H25" i="224" s="1"/>
  <c r="H26" i="224" l="1"/>
  <c r="H24" i="224"/>
  <c r="D24" i="224"/>
  <c r="F24" i="224"/>
  <c r="J24" i="224" s="1"/>
  <c r="N24" i="224" s="1"/>
  <c r="P24" i="224" s="1"/>
  <c r="P23" i="224"/>
  <c r="D25" i="224" l="1"/>
  <c r="F25" i="224"/>
  <c r="J25" i="224" s="1"/>
  <c r="N25" i="224" s="1"/>
  <c r="G44" i="188"/>
  <c r="G46" i="188" s="1"/>
  <c r="L68" i="86" s="1"/>
  <c r="F26" i="224" l="1"/>
  <c r="J26" i="224" s="1"/>
  <c r="N26" i="224" s="1"/>
  <c r="D26" i="224"/>
  <c r="P26" i="224"/>
  <c r="P25" i="224"/>
  <c r="J68" i="86"/>
  <c r="J69" i="86" s="1"/>
  <c r="L69" i="86" s="1"/>
  <c r="L79" i="86" s="1"/>
  <c r="L75" i="86"/>
  <c r="F27" i="224" l="1"/>
  <c r="D27" i="224"/>
  <c r="H28" i="224"/>
  <c r="H27" i="224"/>
  <c r="H29" i="224"/>
  <c r="F71" i="129"/>
  <c r="R32" i="129" s="1"/>
  <c r="F71" i="143"/>
  <c r="P31" i="143" s="1"/>
  <c r="L83" i="86"/>
  <c r="F28" i="224" l="1"/>
  <c r="J28" i="224" s="1"/>
  <c r="N28" i="224" s="1"/>
  <c r="D28" i="224"/>
  <c r="J27" i="224"/>
  <c r="N27" i="224" s="1"/>
  <c r="P27" i="224" s="1"/>
  <c r="J83" i="86"/>
  <c r="L113" i="86"/>
  <c r="D29" i="224" l="1"/>
  <c r="F29" i="224"/>
  <c r="J29" i="224" s="1"/>
  <c r="N29" i="224" s="1"/>
  <c r="H31" i="224" s="1"/>
  <c r="P28" i="224"/>
  <c r="P29" i="224"/>
  <c r="E23" i="143"/>
  <c r="L184" i="86"/>
  <c r="E23" i="129"/>
  <c r="H32" i="224" l="1"/>
  <c r="D30" i="224"/>
  <c r="F30" i="224"/>
  <c r="H30" i="224"/>
  <c r="R21" i="129"/>
  <c r="E25" i="129"/>
  <c r="F43" i="129"/>
  <c r="R27" i="129" s="1"/>
  <c r="L177" i="86"/>
  <c r="L182" i="86" s="1"/>
  <c r="F43" i="143"/>
  <c r="P26" i="143" s="1"/>
  <c r="E25" i="143"/>
  <c r="P20" i="143"/>
  <c r="J30" i="224" l="1"/>
  <c r="N30" i="224" s="1"/>
  <c r="P30" i="224" s="1"/>
  <c r="D31" i="224"/>
  <c r="F31" i="224"/>
  <c r="J31" i="224" s="1"/>
  <c r="N31" i="224" s="1"/>
  <c r="F29" i="143"/>
  <c r="F32" i="143" s="1"/>
  <c r="F36" i="143" s="1"/>
  <c r="F51" i="143" s="1"/>
  <c r="F50" i="143"/>
  <c r="F50" i="129"/>
  <c r="F29" i="129"/>
  <c r="F32" i="129" s="1"/>
  <c r="F36" i="129" s="1"/>
  <c r="F51" i="129" s="1"/>
  <c r="L188" i="86"/>
  <c r="K38" i="94" s="1"/>
  <c r="K41" i="94" s="1"/>
  <c r="K43" i="94" s="1"/>
  <c r="K45" i="94" s="1"/>
  <c r="K46" i="94" s="1"/>
  <c r="K48" i="94" s="1"/>
  <c r="L191" i="86" s="1"/>
  <c r="F44" i="143"/>
  <c r="P27" i="143" s="1"/>
  <c r="F44" i="129"/>
  <c r="R28" i="129" s="1"/>
  <c r="F32" i="224" l="1"/>
  <c r="J32" i="224" s="1"/>
  <c r="N32" i="224" s="1"/>
  <c r="D32" i="224"/>
  <c r="P31" i="224"/>
  <c r="L193" i="86"/>
  <c r="F45" i="129"/>
  <c r="R29" i="129" s="1"/>
  <c r="F45" i="143"/>
  <c r="P28" i="143" s="1"/>
  <c r="H35" i="224" l="1"/>
  <c r="H37" i="224"/>
  <c r="F35" i="224"/>
  <c r="P32" i="224"/>
  <c r="H36" i="224"/>
  <c r="F42" i="129"/>
  <c r="F42" i="143"/>
  <c r="L12" i="86"/>
  <c r="F36" i="224" l="1"/>
  <c r="J35" i="224"/>
  <c r="N35" i="224" s="1"/>
  <c r="L18" i="86"/>
  <c r="K14" i="147"/>
  <c r="L33" i="86"/>
  <c r="L26" i="86"/>
  <c r="L27" i="86" s="1"/>
  <c r="L30" i="86"/>
  <c r="F46" i="143"/>
  <c r="F49" i="143" s="1"/>
  <c r="F52" i="143" s="1"/>
  <c r="F59" i="143" s="1"/>
  <c r="F62" i="143" s="1"/>
  <c r="F64" i="143" s="1"/>
  <c r="F66" i="143" s="1"/>
  <c r="F67" i="143" s="1"/>
  <c r="F68" i="143" s="1"/>
  <c r="F53" i="143" s="1"/>
  <c r="F54" i="143" s="1"/>
  <c r="P25" i="143"/>
  <c r="R26" i="129"/>
  <c r="F46" i="129"/>
  <c r="F49" i="129" s="1"/>
  <c r="F52" i="129" s="1"/>
  <c r="F59" i="129" s="1"/>
  <c r="F62" i="129" s="1"/>
  <c r="F64" i="129" s="1"/>
  <c r="F66" i="129" s="1"/>
  <c r="F67" i="129" s="1"/>
  <c r="F68" i="129" s="1"/>
  <c r="F53" i="129" s="1"/>
  <c r="F54" i="129" s="1"/>
  <c r="P35" i="224" l="1"/>
  <c r="J36" i="224"/>
  <c r="N36" i="224" s="1"/>
  <c r="F37" i="224"/>
  <c r="F72" i="143"/>
  <c r="F73" i="143" s="1"/>
  <c r="F56" i="143"/>
  <c r="F75" i="143" s="1"/>
  <c r="F76" i="143" s="1"/>
  <c r="I14" i="147"/>
  <c r="K20" i="147"/>
  <c r="F72" i="129"/>
  <c r="F73" i="129" s="1"/>
  <c r="F56" i="129"/>
  <c r="F75" i="129" s="1"/>
  <c r="F76" i="129" s="1"/>
  <c r="F77" i="143"/>
  <c r="F77" i="129"/>
  <c r="F38" i="224" l="1"/>
  <c r="F39" i="224" s="1"/>
  <c r="F40" i="224" s="1"/>
  <c r="J37" i="224"/>
  <c r="N37" i="224" s="1"/>
  <c r="H40" i="224" s="1"/>
  <c r="P36" i="224"/>
  <c r="K28" i="147"/>
  <c r="K34" i="147" s="1"/>
  <c r="K38" i="147" s="1"/>
  <c r="I20" i="147"/>
  <c r="K21" i="147" s="1"/>
  <c r="M21" i="147" s="1"/>
  <c r="R33" i="129"/>
  <c r="J100" i="129"/>
  <c r="J101" i="129" s="1"/>
  <c r="I99" i="143"/>
  <c r="P32" i="143"/>
  <c r="F78" i="129"/>
  <c r="F78" i="143"/>
  <c r="B13" i="179" l="1"/>
  <c r="J40" i="224"/>
  <c r="N40" i="224" s="1"/>
  <c r="P37" i="224"/>
  <c r="H38" i="224"/>
  <c r="J38" i="224" s="1"/>
  <c r="N38" i="224" s="1"/>
  <c r="H39" i="224"/>
  <c r="J39" i="224" s="1"/>
  <c r="N39" i="224" s="1"/>
  <c r="G104" i="143"/>
  <c r="G160" i="143" s="1"/>
  <c r="I100" i="143"/>
  <c r="H104" i="143" s="1"/>
  <c r="I28" i="147"/>
  <c r="P39" i="224" l="1"/>
  <c r="P38" i="224"/>
  <c r="P40" i="224"/>
  <c r="P43" i="224" s="1"/>
  <c r="P45" i="224" s="1"/>
  <c r="I34" i="147"/>
  <c r="I38" i="147" s="1"/>
  <c r="I104" i="143"/>
  <c r="I160" i="143" s="1"/>
  <c r="H160" i="143"/>
  <c r="F13" i="179" l="1"/>
  <c r="P44" i="179" l="1"/>
  <c r="D21" i="179"/>
  <c r="D22" i="179" l="1"/>
  <c r="P21" i="179"/>
  <c r="F22" i="179"/>
  <c r="J22" i="179" s="1"/>
  <c r="N22" i="179" s="1"/>
  <c r="P22" i="179" l="1"/>
  <c r="D23" i="179"/>
  <c r="F23" i="179"/>
  <c r="J23" i="179" s="1"/>
  <c r="N23" i="179" s="1"/>
  <c r="H24" i="179" s="1"/>
  <c r="D24" i="179" l="1"/>
  <c r="F24" i="179"/>
  <c r="J24" i="179" s="1"/>
  <c r="N24" i="179" s="1"/>
  <c r="P23" i="179"/>
  <c r="P24" i="179"/>
  <c r="H25" i="179"/>
  <c r="H26" i="179"/>
  <c r="D25" i="179" l="1"/>
  <c r="F25" i="179"/>
  <c r="J25" i="179" s="1"/>
  <c r="N25" i="179" s="1"/>
  <c r="D26" i="179" l="1"/>
  <c r="F26" i="179"/>
  <c r="J26" i="179" s="1"/>
  <c r="N26" i="179" s="1"/>
  <c r="H29" i="179" s="1"/>
  <c r="P25" i="179"/>
  <c r="P26" i="179" l="1"/>
  <c r="H28" i="179"/>
  <c r="D27" i="179"/>
  <c r="F27" i="179"/>
  <c r="H27" i="179"/>
  <c r="D28" i="179" l="1"/>
  <c r="F28" i="179"/>
  <c r="J28" i="179" s="1"/>
  <c r="N28" i="179" s="1"/>
  <c r="J27" i="179"/>
  <c r="N27" i="179" s="1"/>
  <c r="P28" i="179" l="1"/>
  <c r="P27" i="179"/>
  <c r="D29" i="179"/>
  <c r="F29" i="179"/>
  <c r="J29" i="179" s="1"/>
  <c r="N29" i="179" s="1"/>
  <c r="P29" i="179" s="1"/>
  <c r="H31" i="179" l="1"/>
  <c r="H30" i="179"/>
  <c r="H32" i="179"/>
  <c r="F30" i="179"/>
  <c r="D30" i="179"/>
  <c r="J30" i="179" l="1"/>
  <c r="N30" i="179" s="1"/>
  <c r="P30" i="179" s="1"/>
  <c r="D31" i="179"/>
  <c r="F31" i="179"/>
  <c r="J31" i="179" s="1"/>
  <c r="N31" i="179" s="1"/>
  <c r="F32" i="179" l="1"/>
  <c r="J32" i="179" s="1"/>
  <c r="N32" i="179" s="1"/>
  <c r="H37" i="179" s="1"/>
  <c r="D32" i="179"/>
  <c r="P31" i="179"/>
  <c r="F35" i="179" l="1"/>
  <c r="P32" i="179"/>
  <c r="H35" i="179"/>
  <c r="H36" i="179"/>
  <c r="F36" i="179" l="1"/>
  <c r="J35" i="179"/>
  <c r="N35" i="179" s="1"/>
  <c r="P35" i="179" l="1"/>
  <c r="J36" i="179"/>
  <c r="N36" i="179" s="1"/>
  <c r="P36" i="179" s="1"/>
  <c r="F37" i="179"/>
  <c r="J37" i="179" l="1"/>
  <c r="N37" i="179" s="1"/>
  <c r="H38" i="179" s="1"/>
  <c r="F38" i="179"/>
  <c r="F39" i="179" s="1"/>
  <c r="F40" i="179" s="1"/>
  <c r="H40" i="179"/>
  <c r="J40" i="179" l="1"/>
  <c r="N40" i="179" s="1"/>
  <c r="J38" i="179"/>
  <c r="N38" i="179" s="1"/>
  <c r="P37" i="179"/>
  <c r="H39" i="179"/>
  <c r="J39" i="179" s="1"/>
  <c r="N39" i="179" s="1"/>
  <c r="P38" i="179" l="1"/>
  <c r="P39" i="179"/>
  <c r="P40" i="179"/>
  <c r="P43" i="179" s="1"/>
  <c r="P45" i="179" s="1"/>
  <c r="F11" i="178" l="1"/>
  <c r="P63" i="178" l="1"/>
  <c r="D19" i="178"/>
  <c r="R19" i="178" l="1"/>
  <c r="F20" i="178"/>
  <c r="J20" i="178" s="1"/>
  <c r="N20" i="178" s="1"/>
  <c r="D20" i="178"/>
  <c r="R20" i="178" l="1"/>
  <c r="D21" i="178"/>
  <c r="F21" i="178"/>
  <c r="J21" i="178" s="1"/>
  <c r="N21" i="178" s="1"/>
  <c r="H24" i="178" s="1"/>
  <c r="F22" i="178" l="1"/>
  <c r="D22" i="178"/>
  <c r="H22" i="178"/>
  <c r="R21" i="178"/>
  <c r="H23" i="178"/>
  <c r="D23" i="178" l="1"/>
  <c r="F23" i="178"/>
  <c r="J23" i="178" s="1"/>
  <c r="N23" i="178" s="1"/>
  <c r="J22" i="178"/>
  <c r="N22" i="178" s="1"/>
  <c r="R22" i="178" l="1"/>
  <c r="R23" i="178"/>
  <c r="D24" i="178"/>
  <c r="F24" i="178"/>
  <c r="J24" i="178" s="1"/>
  <c r="N24" i="178" s="1"/>
  <c r="H25" i="178" s="1"/>
  <c r="H26" i="178" l="1"/>
  <c r="H27" i="178"/>
  <c r="F25" i="178"/>
  <c r="J25" i="178" s="1"/>
  <c r="N25" i="178" s="1"/>
  <c r="D25" i="178"/>
  <c r="R24" i="178"/>
  <c r="R25" i="178" l="1"/>
  <c r="D26" i="178"/>
  <c r="F26" i="178"/>
  <c r="J26" i="178" s="1"/>
  <c r="N26" i="178" s="1"/>
  <c r="D27" i="178" l="1"/>
  <c r="F27" i="178"/>
  <c r="J27" i="178" s="1"/>
  <c r="N27" i="178" s="1"/>
  <c r="H29" i="178" s="1"/>
  <c r="R26" i="178"/>
  <c r="H30" i="178"/>
  <c r="D28" i="178" l="1"/>
  <c r="F28" i="178"/>
  <c r="R27" i="178"/>
  <c r="H28" i="178"/>
  <c r="J28" i="178" l="1"/>
  <c r="N28" i="178" s="1"/>
  <c r="D29" i="178"/>
  <c r="F29" i="178"/>
  <c r="J29" i="178" s="1"/>
  <c r="N29" i="178" s="1"/>
  <c r="R28" i="178"/>
  <c r="D30" i="178" l="1"/>
  <c r="F30" i="178"/>
  <c r="J30" i="178" s="1"/>
  <c r="N30" i="178" s="1"/>
  <c r="H35" i="178" s="1"/>
  <c r="R29" i="178"/>
  <c r="H33" i="178"/>
  <c r="H34" i="178" l="1"/>
  <c r="F33" i="178"/>
  <c r="R30" i="178"/>
  <c r="F34" i="178" l="1"/>
  <c r="J33" i="178"/>
  <c r="N33" i="178" s="1"/>
  <c r="R33" i="178" l="1"/>
  <c r="F35" i="178"/>
  <c r="J34" i="178"/>
  <c r="N34" i="178" s="1"/>
  <c r="R34" i="178" s="1"/>
  <c r="J35" i="178" l="1"/>
  <c r="N35" i="178" s="1"/>
  <c r="F36" i="178"/>
  <c r="F37" i="178" s="1"/>
  <c r="F38" i="178" s="1"/>
  <c r="R35" i="178" l="1"/>
  <c r="H36" i="178"/>
  <c r="J36" i="178" s="1"/>
  <c r="N36" i="178" s="1"/>
  <c r="R36" i="178" s="1"/>
  <c r="H38" i="178"/>
  <c r="J38" i="178" s="1"/>
  <c r="N38" i="178" s="1"/>
  <c r="F39" i="178"/>
  <c r="F40" i="178" s="1"/>
  <c r="F41" i="178" s="1"/>
  <c r="H37" i="178"/>
  <c r="J37" i="178" s="1"/>
  <c r="N37" i="178" s="1"/>
  <c r="R38" i="178" l="1"/>
  <c r="R37" i="178"/>
  <c r="H40" i="178"/>
  <c r="J40" i="178" s="1"/>
  <c r="N40" i="178" s="1"/>
  <c r="H39" i="178"/>
  <c r="J39" i="178" s="1"/>
  <c r="N39" i="178" s="1"/>
  <c r="R40" i="178" s="1"/>
  <c r="H41" i="178"/>
  <c r="F42" i="178"/>
  <c r="F43" i="178" s="1"/>
  <c r="F44" i="178" s="1"/>
  <c r="F48" i="178" s="1"/>
  <c r="F49" i="178" s="1"/>
  <c r="F50" i="178" s="1"/>
  <c r="F51" i="178" s="1"/>
  <c r="F52" i="178" s="1"/>
  <c r="F53" i="178" s="1"/>
  <c r="F54" i="178" s="1"/>
  <c r="F55" i="178" s="1"/>
  <c r="F56" i="178" s="1"/>
  <c r="F57" i="178" s="1"/>
  <c r="F58" i="178" s="1"/>
  <c r="F59" i="178" s="1"/>
  <c r="R39" i="178" l="1"/>
  <c r="J41" i="178"/>
  <c r="N41" i="178" s="1"/>
  <c r="H43" i="178" s="1"/>
  <c r="J43" i="178" s="1"/>
  <c r="N43" i="178" s="1"/>
  <c r="H42" i="178" l="1"/>
  <c r="J42" i="178" s="1"/>
  <c r="N42" i="178" s="1"/>
  <c r="R42" i="178" s="1"/>
  <c r="R41" i="178"/>
  <c r="H44" i="178"/>
  <c r="R43" i="178" l="1"/>
  <c r="J44" i="178"/>
  <c r="N44" i="178" s="1"/>
  <c r="R44" i="178" s="1"/>
  <c r="H48" i="178"/>
  <c r="J48" i="178" s="1"/>
  <c r="N48" i="178" s="1"/>
  <c r="H49" i="178"/>
  <c r="H50" i="178" l="1"/>
  <c r="P52" i="178"/>
  <c r="P57" i="178"/>
  <c r="P50" i="178"/>
  <c r="P58" i="178"/>
  <c r="P53" i="178"/>
  <c r="P54" i="178"/>
  <c r="P49" i="178"/>
  <c r="P48" i="178"/>
  <c r="P59" i="178"/>
  <c r="P55" i="178"/>
  <c r="P56" i="178"/>
  <c r="P51" i="178"/>
  <c r="R48" i="178" l="1"/>
  <c r="J49" i="178" s="1"/>
  <c r="N49" i="178" s="1"/>
  <c r="P62" i="178"/>
  <c r="P64" i="178" s="1"/>
  <c r="R49" i="178" l="1"/>
  <c r="J50" i="178" s="1"/>
  <c r="N50" i="178" s="1"/>
  <c r="R50" i="178" s="1"/>
  <c r="J51" i="178" s="1"/>
  <c r="N51" i="178" s="1"/>
  <c r="R51" i="178" s="1"/>
  <c r="J52" i="178" s="1"/>
  <c r="N52" i="178" s="1"/>
  <c r="R52" i="178" s="1"/>
  <c r="J53" i="178" s="1"/>
  <c r="N53" i="178" s="1"/>
  <c r="R53" i="178" s="1"/>
  <c r="J54" i="178" s="1"/>
  <c r="N54" i="178" s="1"/>
  <c r="R54" i="178" s="1"/>
  <c r="J55" i="178" s="1"/>
  <c r="N55" i="178" s="1"/>
  <c r="R55" i="178" s="1"/>
  <c r="J56" i="178" s="1"/>
  <c r="N56" i="178" s="1"/>
  <c r="R56" i="178" s="1"/>
  <c r="J57" i="178" s="1"/>
  <c r="N57" i="178" s="1"/>
  <c r="R57" i="178" s="1"/>
  <c r="J58" i="178" s="1"/>
  <c r="N58" i="178" s="1"/>
  <c r="R58" i="178" s="1"/>
  <c r="J59" i="178" s="1"/>
  <c r="N59" i="178" s="1"/>
  <c r="R59" i="178" s="1"/>
  <c r="Q38" i="232"/>
  <c r="H51" i="178" l="1"/>
  <c r="H53" i="178"/>
  <c r="H55" i="178" s="1"/>
  <c r="H52" i="178"/>
  <c r="H54" i="178" l="1"/>
  <c r="H56" i="178"/>
  <c r="H58" i="178" s="1"/>
  <c r="H57" i="178"/>
  <c r="H59" i="178"/>
</calcChain>
</file>

<file path=xl/comments1.xml><?xml version="1.0" encoding="utf-8"?>
<comments xmlns="http://schemas.openxmlformats.org/spreadsheetml/2006/main">
  <authors>
    <author>Author</author>
  </authors>
  <commentList>
    <comment ref="C15" authorId="0" shapeId="0">
      <text>
        <r>
          <rPr>
            <b/>
            <sz val="8"/>
            <color indexed="81"/>
            <rFont val="Tahoma"/>
            <family val="2"/>
          </rPr>
          <t>Author:</t>
        </r>
        <r>
          <rPr>
            <sz val="8"/>
            <color indexed="81"/>
            <rFont val="Tahoma"/>
            <family val="2"/>
          </rPr>
          <t xml:space="preserve">
Project Descriptions are in WS-F cell D7.</t>
        </r>
      </text>
    </comment>
    <comment ref="D15" authorId="0" shapeId="0">
      <text>
        <r>
          <rPr>
            <b/>
            <sz val="8"/>
            <color indexed="81"/>
            <rFont val="Tahoma"/>
            <family val="2"/>
          </rPr>
          <t>Author:</t>
        </r>
        <r>
          <rPr>
            <sz val="8"/>
            <color indexed="81"/>
            <rFont val="Tahoma"/>
            <family val="2"/>
          </rPr>
          <t xml:space="preserve">
Year In Service is in WS-F cell D11.</t>
        </r>
      </text>
    </comment>
    <comment ref="E15" authorId="0" shapeId="0">
      <text>
        <r>
          <rPr>
            <b/>
            <sz val="8"/>
            <color indexed="81"/>
            <rFont val="Tahoma"/>
            <family val="2"/>
          </rPr>
          <t>Author:</t>
        </r>
        <r>
          <rPr>
            <sz val="8"/>
            <color indexed="81"/>
            <rFont val="Tahoma"/>
            <family val="2"/>
          </rPr>
          <t xml:space="preserve">
Projected Base ARR is in cell WS-F cell N5.</t>
        </r>
      </text>
    </comment>
    <comment ref="F15" authorId="0" shapeId="0">
      <text>
        <r>
          <rPr>
            <b/>
            <sz val="8"/>
            <color indexed="81"/>
            <rFont val="Tahoma"/>
            <family val="2"/>
          </rPr>
          <t>Author:</t>
        </r>
        <r>
          <rPr>
            <sz val="8"/>
            <color indexed="81"/>
            <rFont val="Tahoma"/>
            <family val="2"/>
          </rPr>
          <t xml:space="preserve">
Projected Incentive ARR is in WS-F cell N7.</t>
        </r>
      </text>
    </comment>
    <comment ref="I15" authorId="0" shapeId="0">
      <text>
        <r>
          <rPr>
            <b/>
            <sz val="8"/>
            <color indexed="81"/>
            <rFont val="Tahoma"/>
            <family val="2"/>
          </rPr>
          <t>Author:</t>
        </r>
        <r>
          <rPr>
            <sz val="8"/>
            <color indexed="81"/>
            <rFont val="Tahoma"/>
            <family val="2"/>
          </rPr>
          <t xml:space="preserve">
Actual from True up wosksheet G</t>
        </r>
      </text>
    </comment>
    <comment ref="J15" authorId="0" shapeId="0">
      <text>
        <r>
          <rPr>
            <b/>
            <sz val="8"/>
            <color indexed="81"/>
            <rFont val="Tahoma"/>
            <family val="2"/>
          </rPr>
          <t>Author:</t>
        </r>
        <r>
          <rPr>
            <sz val="8"/>
            <color indexed="81"/>
            <rFont val="Tahoma"/>
            <family val="2"/>
          </rPr>
          <t xml:space="preserve">
Projected for rate year from projection WS F.</t>
        </r>
      </text>
    </comment>
    <comment ref="K15" authorId="0" shapeId="0">
      <text>
        <r>
          <rPr>
            <b/>
            <sz val="8"/>
            <color indexed="81"/>
            <rFont val="Tahoma"/>
            <family val="2"/>
          </rPr>
          <t>Author:</t>
        </r>
        <r>
          <rPr>
            <sz val="8"/>
            <color indexed="81"/>
            <rFont val="Tahoma"/>
            <family val="2"/>
          </rPr>
          <t xml:space="preserve">
"TRUE-UP Adjustment (i.e., Forecast Error) is from WS-G sheet [P.00x] in cell M89.</t>
        </r>
      </text>
    </comment>
    <comment ref="M15" authorId="0" shapeId="0">
      <text>
        <r>
          <rPr>
            <b/>
            <sz val="8"/>
            <color indexed="81"/>
            <rFont val="Tahoma"/>
            <family val="2"/>
          </rPr>
          <t>Author:</t>
        </r>
        <r>
          <rPr>
            <sz val="8"/>
            <color indexed="81"/>
            <rFont val="Tahoma"/>
            <family val="2"/>
          </rPr>
          <t xml:space="preserve">
This is "Prior Year True-Up (WS-G)"; and "Incentive Amounts" O88</t>
        </r>
      </text>
    </comment>
    <comment ref="N15" authorId="0" shapeId="0">
      <text>
        <r>
          <rPr>
            <b/>
            <sz val="8"/>
            <color indexed="81"/>
            <rFont val="Tahoma"/>
            <family val="2"/>
          </rPr>
          <t>Author:</t>
        </r>
        <r>
          <rPr>
            <sz val="8"/>
            <color indexed="81"/>
            <rFont val="Tahoma"/>
            <family val="2"/>
          </rPr>
          <t xml:space="preserve">
Prior Year Projected (WS-F) and Incentive Amounts [cell O87]</t>
        </r>
      </text>
    </comment>
    <comment ref="O15" authorId="0" shapeId="0">
      <text>
        <r>
          <rPr>
            <b/>
            <sz val="8"/>
            <color indexed="81"/>
            <rFont val="Tahoma"/>
            <family val="2"/>
          </rPr>
          <t>Author:</t>
        </r>
        <r>
          <rPr>
            <sz val="8"/>
            <color indexed="81"/>
            <rFont val="Tahoma"/>
            <family val="2"/>
          </rPr>
          <t xml:space="preserve">
"TRUE-UP Adjustment (i.e., Forecast Error) is from WS-G sheet [P.00x] in cell M89.</t>
        </r>
      </text>
    </comment>
    <comment ref="C20" authorId="0" shapeId="0">
      <text>
        <r>
          <rPr>
            <b/>
            <sz val="9"/>
            <color indexed="81"/>
            <rFont val="Tahoma"/>
            <family val="2"/>
          </rPr>
          <t>Author:</t>
        </r>
        <r>
          <rPr>
            <sz val="9"/>
            <color indexed="81"/>
            <rFont val="Tahoma"/>
            <family val="2"/>
          </rPr>
          <t xml:space="preserve">
The SPP NTC only allows 94% of this project to be Base Plan.  Therefore, from 2016 Update onward, the indicated ATTR is based upon 94% of actual project investment.
In previous annual Updates, AEP provided 100% investment based ATRR thus SPP only collected 94% of the indicated ATRRs.  
Repeating:  from 2016 Update onward, no scaling is required by SPP as the indicated ATRR is already refelcting the 94% scaler per the original NTC.
</t>
        </r>
      </text>
    </comment>
    <comment ref="Q38" authorId="0" shapeId="0">
      <text>
        <r>
          <rPr>
            <b/>
            <sz val="10"/>
            <color indexed="81"/>
            <rFont val="Tahoma"/>
            <family val="2"/>
          </rPr>
          <t>JFM</t>
        </r>
        <r>
          <rPr>
            <sz val="10"/>
            <color indexed="81"/>
            <rFont val="Tahoma"/>
            <family val="2"/>
          </rPr>
          <t xml:space="preserve">
From the Sch 11 true up tab in the template</t>
        </r>
      </text>
    </comment>
  </commentList>
</comments>
</file>

<file path=xl/comments2.xml><?xml version="1.0" encoding="utf-8"?>
<comments xmlns="http://schemas.openxmlformats.org/spreadsheetml/2006/main">
  <authors>
    <author>Author</author>
  </authors>
  <commentList>
    <comment ref="C15" authorId="0" shapeId="0">
      <text>
        <r>
          <rPr>
            <b/>
            <sz val="8"/>
            <color indexed="81"/>
            <rFont val="Tahoma"/>
            <family val="2"/>
          </rPr>
          <t>Author:</t>
        </r>
        <r>
          <rPr>
            <sz val="8"/>
            <color indexed="81"/>
            <rFont val="Tahoma"/>
            <family val="2"/>
          </rPr>
          <t xml:space="preserve">
Project Descriptions are in WS-F cell D7.</t>
        </r>
      </text>
    </comment>
    <comment ref="D15" authorId="0" shapeId="0">
      <text>
        <r>
          <rPr>
            <b/>
            <sz val="8"/>
            <color indexed="81"/>
            <rFont val="Tahoma"/>
            <family val="2"/>
          </rPr>
          <t>Author:</t>
        </r>
        <r>
          <rPr>
            <sz val="8"/>
            <color indexed="81"/>
            <rFont val="Tahoma"/>
            <family val="2"/>
          </rPr>
          <t xml:space="preserve">
Year In Service is in WS-F cell D11.</t>
        </r>
      </text>
    </comment>
    <comment ref="E15" authorId="0" shapeId="0">
      <text>
        <r>
          <rPr>
            <b/>
            <sz val="8"/>
            <color indexed="81"/>
            <rFont val="Tahoma"/>
            <family val="2"/>
          </rPr>
          <t>Author:</t>
        </r>
        <r>
          <rPr>
            <sz val="8"/>
            <color indexed="81"/>
            <rFont val="Tahoma"/>
            <family val="2"/>
          </rPr>
          <t xml:space="preserve">
Projected Base ARR is in cell WS-F cell N5.</t>
        </r>
      </text>
    </comment>
    <comment ref="F15" authorId="0" shapeId="0">
      <text>
        <r>
          <rPr>
            <b/>
            <sz val="8"/>
            <color indexed="81"/>
            <rFont val="Tahoma"/>
            <family val="2"/>
          </rPr>
          <t>Author:</t>
        </r>
        <r>
          <rPr>
            <sz val="8"/>
            <color indexed="81"/>
            <rFont val="Tahoma"/>
            <family val="2"/>
          </rPr>
          <t xml:space="preserve">
Projected Incentive ARR is in WS-F cell N7.</t>
        </r>
      </text>
    </comment>
    <comment ref="I15" authorId="0" shapeId="0">
      <text>
        <r>
          <rPr>
            <b/>
            <sz val="8"/>
            <color indexed="81"/>
            <rFont val="Tahoma"/>
            <family val="2"/>
          </rPr>
          <t>Author:</t>
        </r>
        <r>
          <rPr>
            <sz val="8"/>
            <color indexed="81"/>
            <rFont val="Tahoma"/>
            <family val="2"/>
          </rPr>
          <t xml:space="preserve">
Actual from True up wosksheet G</t>
        </r>
      </text>
    </comment>
    <comment ref="J15" authorId="0" shapeId="0">
      <text>
        <r>
          <rPr>
            <b/>
            <sz val="8"/>
            <color indexed="81"/>
            <rFont val="Tahoma"/>
            <family val="2"/>
          </rPr>
          <t>Author:</t>
        </r>
        <r>
          <rPr>
            <sz val="8"/>
            <color indexed="81"/>
            <rFont val="Tahoma"/>
            <family val="2"/>
          </rPr>
          <t xml:space="preserve">
Projected for rate year from projection WS F.</t>
        </r>
      </text>
    </comment>
    <comment ref="K15" authorId="0" shapeId="0">
      <text>
        <r>
          <rPr>
            <b/>
            <sz val="8"/>
            <color indexed="81"/>
            <rFont val="Tahoma"/>
            <family val="2"/>
          </rPr>
          <t>Author:</t>
        </r>
        <r>
          <rPr>
            <sz val="8"/>
            <color indexed="81"/>
            <rFont val="Tahoma"/>
            <family val="2"/>
          </rPr>
          <t xml:space="preserve">
"TRUE-UP Adjustment (i.e., Forecast Error) is from WS-G sheet [P.00x] in cell M89.</t>
        </r>
      </text>
    </comment>
    <comment ref="M15" authorId="0" shapeId="0">
      <text>
        <r>
          <rPr>
            <b/>
            <sz val="8"/>
            <color indexed="81"/>
            <rFont val="Tahoma"/>
            <family val="2"/>
          </rPr>
          <t>Author:</t>
        </r>
        <r>
          <rPr>
            <sz val="8"/>
            <color indexed="81"/>
            <rFont val="Tahoma"/>
            <family val="2"/>
          </rPr>
          <t xml:space="preserve">
This is "Prior Year True-Up (WS-G)"; and "Incentive Amounts" O88</t>
        </r>
      </text>
    </comment>
    <comment ref="N15" authorId="0" shapeId="0">
      <text>
        <r>
          <rPr>
            <b/>
            <sz val="8"/>
            <color indexed="81"/>
            <rFont val="Tahoma"/>
            <family val="2"/>
          </rPr>
          <t>Author:</t>
        </r>
        <r>
          <rPr>
            <sz val="8"/>
            <color indexed="81"/>
            <rFont val="Tahoma"/>
            <family val="2"/>
          </rPr>
          <t xml:space="preserve">
Prior Year Projected (WS-F) and Incentive Amounts [cell O87]</t>
        </r>
      </text>
    </comment>
    <comment ref="O15" authorId="0" shapeId="0">
      <text>
        <r>
          <rPr>
            <b/>
            <sz val="8"/>
            <color indexed="81"/>
            <rFont val="Tahoma"/>
            <family val="2"/>
          </rPr>
          <t>Author:</t>
        </r>
        <r>
          <rPr>
            <sz val="8"/>
            <color indexed="81"/>
            <rFont val="Tahoma"/>
            <family val="2"/>
          </rPr>
          <t xml:space="preserve">
"TRUE-UP Adjustment (i.e., Forecast Error) is from WS-G sheet [P.00x] in cell M89.</t>
        </r>
      </text>
    </comment>
    <comment ref="Q36" authorId="0" shapeId="0">
      <text>
        <r>
          <rPr>
            <b/>
            <sz val="10"/>
            <color indexed="81"/>
            <rFont val="Tahoma"/>
            <family val="2"/>
          </rPr>
          <t>JFM</t>
        </r>
        <r>
          <rPr>
            <sz val="10"/>
            <color indexed="81"/>
            <rFont val="Tahoma"/>
            <family val="2"/>
          </rPr>
          <t xml:space="preserve">
From the Sch 11 true up tab in the template</t>
        </r>
      </text>
    </comment>
  </commentList>
</comments>
</file>

<file path=xl/comments3.xml><?xml version="1.0" encoding="utf-8"?>
<comments xmlns="http://schemas.openxmlformats.org/spreadsheetml/2006/main">
  <authors>
    <author>Author</author>
  </authors>
  <commentList>
    <comment ref="H11" authorId="0" shapeId="0">
      <text>
        <r>
          <rPr>
            <b/>
            <sz val="9"/>
            <color indexed="81"/>
            <rFont val="Tahoma"/>
            <family val="2"/>
          </rPr>
          <t>Author:</t>
        </r>
        <r>
          <rPr>
            <sz val="9"/>
            <color indexed="81"/>
            <rFont val="Tahoma"/>
            <family val="2"/>
          </rPr>
          <t xml:space="preserve">
Remove *0 when projecting estimated rates.
</t>
        </r>
      </text>
    </comment>
    <comment ref="H12" authorId="0" shapeId="0">
      <text>
        <r>
          <rPr>
            <b/>
            <sz val="9"/>
            <color indexed="81"/>
            <rFont val="Tahoma"/>
            <family val="2"/>
          </rPr>
          <t>Author:</t>
        </r>
        <r>
          <rPr>
            <sz val="9"/>
            <color indexed="81"/>
            <rFont val="Tahoma"/>
            <family val="2"/>
          </rPr>
          <t xml:space="preserve">
Remove *0 when projecting estimated rates.</t>
        </r>
      </text>
    </comment>
  </commentList>
</comments>
</file>

<file path=xl/comments4.xml><?xml version="1.0" encoding="utf-8"?>
<comments xmlns="http://schemas.openxmlformats.org/spreadsheetml/2006/main">
  <authors>
    <author>Author</author>
  </authors>
  <commentList>
    <comment ref="M32" authorId="0" shapeId="0">
      <text>
        <r>
          <rPr>
            <b/>
            <sz val="9"/>
            <color indexed="81"/>
            <rFont val="Tahoma"/>
            <family val="2"/>
          </rPr>
          <t>Author:</t>
        </r>
        <r>
          <rPr>
            <sz val="9"/>
            <color indexed="81"/>
            <rFont val="Tahoma"/>
            <family val="2"/>
          </rPr>
          <t xml:space="preserve">
Adjustments made by Accounting to the FF1 for reserves sent to Account 449 for the radial asset issue. </t>
        </r>
      </text>
    </comment>
  </commentList>
</comments>
</file>

<file path=xl/comments5.xml><?xml version="1.0" encoding="utf-8"?>
<comments xmlns="http://schemas.openxmlformats.org/spreadsheetml/2006/main">
  <authors>
    <author>Author</author>
  </authors>
  <commentList>
    <comment ref="B34" authorId="0" shapeId="0">
      <text>
        <r>
          <rPr>
            <b/>
            <sz val="8"/>
            <color indexed="81"/>
            <rFont val="Tahoma"/>
            <family val="2"/>
          </rPr>
          <t>Author:</t>
        </r>
        <r>
          <rPr>
            <sz val="8"/>
            <color indexed="81"/>
            <rFont val="Tahoma"/>
            <family val="2"/>
          </rPr>
          <t xml:space="preserve">
FF1 pg 323
</t>
        </r>
      </text>
    </comment>
    <comment ref="B44" authorId="0" shapeId="0">
      <text>
        <r>
          <rPr>
            <b/>
            <sz val="8"/>
            <color indexed="81"/>
            <rFont val="Tahoma"/>
            <family val="2"/>
          </rPr>
          <t>Author:</t>
        </r>
        <r>
          <rPr>
            <sz val="8"/>
            <color indexed="81"/>
            <rFont val="Tahoma"/>
            <family val="2"/>
          </rPr>
          <t xml:space="preserve">
FF1, pg. 335</t>
        </r>
      </text>
    </comment>
  </commentList>
</comments>
</file>

<file path=xl/comments6.xml><?xml version="1.0" encoding="utf-8"?>
<comments xmlns="http://schemas.openxmlformats.org/spreadsheetml/2006/main">
  <authors>
    <author>Author</author>
  </authors>
  <commentList>
    <comment ref="H11" authorId="0" shapeId="0">
      <text>
        <r>
          <rPr>
            <b/>
            <sz val="9"/>
            <color indexed="81"/>
            <rFont val="Tahoma"/>
            <family val="2"/>
          </rPr>
          <t>Author:</t>
        </r>
        <r>
          <rPr>
            <sz val="9"/>
            <color indexed="81"/>
            <rFont val="Tahoma"/>
            <family val="2"/>
          </rPr>
          <t xml:space="preserve">
Remove *0 when projecting estimated rates.</t>
        </r>
      </text>
    </comment>
    <comment ref="H12" authorId="0" shapeId="0">
      <text>
        <r>
          <rPr>
            <b/>
            <sz val="9"/>
            <color indexed="81"/>
            <rFont val="Tahoma"/>
            <family val="2"/>
          </rPr>
          <t>Author:</t>
        </r>
        <r>
          <rPr>
            <sz val="9"/>
            <color indexed="81"/>
            <rFont val="Tahoma"/>
            <family val="2"/>
          </rPr>
          <t xml:space="preserve">
Remove *0 when projecting estimated rates.</t>
        </r>
      </text>
    </comment>
  </commentList>
</comments>
</file>

<file path=xl/sharedStrings.xml><?xml version="1.0" encoding="utf-8"?>
<sst xmlns="http://schemas.openxmlformats.org/spreadsheetml/2006/main" count="3902" uniqueCount="1128">
  <si>
    <t>"Gross Margin" for the Company.  The tax rate of one percent is assessed on the resulting amount.  The jurisdictional allocator is based on transmission demand allocators.</t>
  </si>
  <si>
    <t>KW</t>
  </si>
  <si>
    <t>"the percentage of federal income tax deductible for state income taxes".  If the utility is taxed in more than one state it must attach a</t>
  </si>
  <si>
    <t>work paper showing the name of each state and how the blended or composite SIT was developed.  Furthermore, a utility that</t>
  </si>
  <si>
    <t xml:space="preserve">elected to utilize amortization of tax credits against taxable income, rather than book tax credits to Account No. 255 and reduce </t>
  </si>
  <si>
    <t>rate base, must reduce its income tax expense by the amount of the Amortized Investment Tax Credit (Form 1, 266.8.f)</t>
  </si>
  <si>
    <t xml:space="preserve">         Inputs Required:</t>
  </si>
  <si>
    <t>FIT =</t>
  </si>
  <si>
    <t>SIT=</t>
  </si>
  <si>
    <t>p =</t>
  </si>
  <si>
    <t xml:space="preserve">  (percent of federal income tax deductible for state purposes)</t>
  </si>
  <si>
    <t>P</t>
  </si>
  <si>
    <t>Q</t>
  </si>
  <si>
    <t>R</t>
  </si>
  <si>
    <t>S</t>
  </si>
  <si>
    <t xml:space="preserve">Balances @ </t>
  </si>
  <si>
    <t>N/A</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</si>
  <si>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</si>
  <si>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</si>
  <si>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</si>
  <si>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</si>
  <si>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</si>
  <si>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</si>
  <si>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 xml:space="preserve">   Net Revenue Requirement, Less Return and Taxes</t>
  </si>
  <si>
    <t xml:space="preserve">   Revenue Requirement w/ Gross Margin Taxes</t>
  </si>
  <si>
    <t xml:space="preserve">      Basis Point ROE increase (II B. above)</t>
  </si>
  <si>
    <t xml:space="preserve">       Apportioned Texas Revenues</t>
  </si>
  <si>
    <t xml:space="preserve">       Taxable, Apportioned Margin</t>
  </si>
  <si>
    <t xml:space="preserve">       Texas Gross Margin Tax Rate</t>
  </si>
  <si>
    <t xml:space="preserve">       Texas Gross Margin Tax Expense</t>
  </si>
  <si>
    <t xml:space="preserve">      Gross-up Required for Gross Margin Tax Expense </t>
  </si>
  <si>
    <t>Total Additional Gross Margin Tax Revenue Requirement</t>
  </si>
  <si>
    <t>Revenue</t>
  </si>
  <si>
    <t>REVENUE REQUIREMENT For All Company Facilities</t>
  </si>
  <si>
    <t>NET PLANT CARRYING CHARGE  (w/o incentives) (Note B)</t>
  </si>
  <si>
    <t>272-273.8.k</t>
  </si>
  <si>
    <t xml:space="preserve">   Effective State Income Tax Rate</t>
  </si>
  <si>
    <t>Total Company</t>
  </si>
  <si>
    <t>Trans. Only</t>
  </si>
  <si>
    <t>Apportioned Texas Revenues</t>
  </si>
  <si>
    <t>Taxable, Apportioned Margin</t>
  </si>
  <si>
    <t>Texas Gross Margin Tax Expense</t>
  </si>
  <si>
    <t xml:space="preserve">Gross-up Required for Texas Gross Margin Expense </t>
  </si>
  <si>
    <t>WHOLESALE LOAD ALLOCATOR (For Use in Gross Margin Tax Allocator)</t>
  </si>
  <si>
    <t>Texas Jurisdictional Load</t>
  </si>
  <si>
    <t>Total Load</t>
  </si>
  <si>
    <t>Allocation Percentage</t>
  </si>
  <si>
    <t>(C )</t>
  </si>
  <si>
    <t>June</t>
  </si>
  <si>
    <t>Total O&amp;M Allocable to Transmission</t>
  </si>
  <si>
    <t>Transmission Cost of Service Formula Rate</t>
  </si>
  <si>
    <t>Projected Year</t>
  </si>
  <si>
    <t>Less Account 216.1</t>
  </si>
  <si>
    <t>321.112.b</t>
  </si>
  <si>
    <t>323.185.b</t>
  </si>
  <si>
    <t>T</t>
  </si>
  <si>
    <t>(Note S)</t>
  </si>
  <si>
    <t>354.23.b</t>
  </si>
  <si>
    <t>354.24,25,26.b</t>
  </si>
  <si>
    <t>354.20.b</t>
  </si>
  <si>
    <t xml:space="preserve">Balances </t>
  </si>
  <si>
    <t>Total 561 Internally Developed Costs</t>
  </si>
  <si>
    <t>Production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</si>
  <si>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</si>
  <si>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</si>
  <si>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</si>
  <si>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</si>
  <si>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</si>
  <si>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</si>
  <si>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IMPORT (paste.values) DATA from support WS F'G file (WS F tab)</t>
  </si>
  <si>
    <t>Paste 4x1 range as values from WS-G support sheet.</t>
  </si>
  <si>
    <t>Pre 1971 ITC  Includable in Rate Base</t>
  </si>
  <si>
    <t>in Rate base</t>
  </si>
  <si>
    <t>(J)</t>
  </si>
  <si>
    <t xml:space="preserve">Transmission &amp; </t>
  </si>
  <si>
    <t xml:space="preserve">Distribution </t>
  </si>
  <si>
    <t>Exclusions *</t>
  </si>
  <si>
    <t>Plant Related</t>
  </si>
  <si>
    <t>(E)+(F)+(G)+(H)</t>
  </si>
  <si>
    <t xml:space="preserve">Subtotal </t>
  </si>
  <si>
    <t>Allocated Total</t>
  </si>
  <si>
    <t>282.1</t>
  </si>
  <si>
    <t>Account 255 - Form-1 page 266-267</t>
  </si>
  <si>
    <t>*</t>
  </si>
  <si>
    <t>Exclusions: Non-utility, fuel supply, off-system sales and other items as specified related to costs not included in rates.</t>
  </si>
  <si>
    <t>Allocation Basis</t>
  </si>
  <si>
    <t>Transmission plant included in SPP Tariff</t>
  </si>
  <si>
    <t>Percent of transmission plant in SPP Tariff</t>
  </si>
  <si>
    <t>&lt;----Worksheet data is for</t>
  </si>
  <si>
    <t>Copy this 24x2 range to WS-F support sheet INPUT area</t>
  </si>
  <si>
    <t>The revenue credits shall include a) amounts received directly from the SPP for PTP transmission services, b) direct assignment charges for transmission facilities,</t>
  </si>
  <si>
    <t>the cost of which has been included in the TCOS, and c) amounts from customers taking service under grandfathered agreements, where the demand is not included</t>
  </si>
  <si>
    <t>283.1</t>
  </si>
  <si>
    <t>in the rate divisor. Revenues associated with FERC annual charges, gross receipts taxes, ancillary services or facilities excluded from the TCOS are not included as</t>
  </si>
  <si>
    <t>revenue credits.  Revenue from Transmission Customers whose coincident peak loads are included in the DIVISOR of the load-ratio share calculation are not</t>
  </si>
  <si>
    <t>The annual and monthly net plant carrying charges on page 1 are used to compute the revenue requirement for facilities and any upgrades.</t>
  </si>
  <si>
    <t>Account 4540001 - Rent from Elect Property-Aff</t>
  </si>
  <si>
    <t xml:space="preserve">Account 4540002 - Rent from Elect Property - Non-Aff </t>
  </si>
  <si>
    <t>Account 4540004 - Rent from Elect Property - ABD - Non-Aff</t>
  </si>
  <si>
    <t>Account 4560015, Revenues from Associated Business Development</t>
  </si>
  <si>
    <t>Less:</t>
  </si>
  <si>
    <t>Transmission Direct Assignment Revenue (if costs not in the ARR)</t>
  </si>
  <si>
    <t>Sponsored Upgrade Revenue</t>
  </si>
  <si>
    <t>Credits against Transmission Service Revenue related to Generation Interconnections</t>
  </si>
  <si>
    <t>Revenue for GFA's (Relative to SPP OATT) Associated with Load Included in the Divisor</t>
  </si>
  <si>
    <t>Network Service Revenue (SPP Schedule 9) Associated with Load included in the Divisor</t>
  </si>
  <si>
    <t>Revenue Associated with Transmission Plant Excluded From SPP Tariff</t>
  </si>
  <si>
    <t>Distribution and Other Non-Transmission Revenue</t>
  </si>
  <si>
    <t>Revenue from SPP Ancillary Services Provided</t>
  </si>
  <si>
    <t>Base Plan Revenue (from SPP)</t>
  </si>
  <si>
    <t>Flow Through of ERCOT Ancillary Charges</t>
  </si>
  <si>
    <t>(absolute value Total Company Amount Ties to FF1 p.277(k) -- Acct 283 Electric)</t>
  </si>
  <si>
    <r>
      <t>Worksheet E</t>
    </r>
    <r>
      <rPr>
        <sz val="12"/>
        <rFont val="Arial"/>
        <family val="2"/>
      </rPr>
      <t xml:space="preserve"> - IPP Credits</t>
    </r>
  </si>
  <si>
    <r>
      <t xml:space="preserve"> Worksheet I</t>
    </r>
    <r>
      <rPr>
        <sz val="12"/>
        <rFont val="Arial"/>
        <family val="2"/>
      </rPr>
      <t xml:space="preserve"> - Supporting Transmission Expense Adjustments</t>
    </r>
  </si>
  <si>
    <r>
      <t xml:space="preserve"> Worksheet J</t>
    </r>
    <r>
      <rPr>
        <sz val="12"/>
        <rFont val="Arial"/>
        <family val="2"/>
      </rPr>
      <t xml:space="preserve"> - Allocation of Specific O&amp;M or  A&amp;G Expenses</t>
    </r>
  </si>
  <si>
    <r>
      <t xml:space="preserve"> Worksheet K </t>
    </r>
    <r>
      <rPr>
        <sz val="12"/>
        <rFont val="Arial"/>
        <family val="2"/>
      </rPr>
      <t>- Development of Composite State Income Tax Rate</t>
    </r>
  </si>
  <si>
    <r>
      <t xml:space="preserve"> Worksheet L</t>
    </r>
    <r>
      <rPr>
        <sz val="12"/>
        <rFont val="Arial"/>
        <family val="2"/>
      </rPr>
      <t xml:space="preserve"> - Taxes Other than Income</t>
    </r>
  </si>
  <si>
    <t>(State Income Tax Rate or Composite SIT.  Worksheet K)</t>
  </si>
  <si>
    <t xml:space="preserve">              should equal the sum of the 'income' tax line items within FF1 p262.x-263.x</t>
  </si>
  <si>
    <t xml:space="preserve">                                                                                                                                                                     </t>
  </si>
  <si>
    <t>Requirement</t>
  </si>
  <si>
    <t>A.</t>
  </si>
  <si>
    <t>B.</t>
  </si>
  <si>
    <t>MW</t>
  </si>
  <si>
    <t>SPP SCHEDULE 1 AEP Revenue Requirements</t>
  </si>
  <si>
    <t>True-Up Year</t>
  </si>
  <si>
    <t>NOTE:</t>
  </si>
  <si>
    <t>(Total Company Amount Ties to FF1 p.234(c) -- Electric)</t>
  </si>
  <si>
    <t>State Income Tax Rate - Oklahoma</t>
  </si>
  <si>
    <t>Note 1</t>
  </si>
  <si>
    <t>FF1, page 219, ln 28, Col. (b)</t>
  </si>
  <si>
    <t xml:space="preserve">                 Oklahoma State Income Taxes on the Oklahoma State Income Tax Return.</t>
  </si>
  <si>
    <t>FF1, p. 227, ln 8, Col. (c &amp; b)</t>
  </si>
  <si>
    <t>FF1, p. 227, ln 11, Col. (c &amp; b)</t>
  </si>
  <si>
    <t>FF1, p. 227, ln 16, Col. (c &amp; b)</t>
  </si>
  <si>
    <t>Identified as being transmission related or functionally booked to transmission.</t>
  </si>
  <si>
    <t xml:space="preserve">Removes cost of transmission service provided by others to the extent such service is not incurred to provide the SPP service at issue.  </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</si>
  <si>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</si>
  <si>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</si>
  <si>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(Total Company Amount Ties to FFI p.114, Ln 14,(c))</t>
  </si>
  <si>
    <t xml:space="preserve">Includes functional wages &amp; salaries incurred by parent company service corporation for support of the operating company. </t>
  </si>
  <si>
    <t>NOTE D</t>
  </si>
  <si>
    <t>(Note F)</t>
  </si>
  <si>
    <t>REVENUE REQUIREMENT BEFORE TEXAS GROSS MARGIN TAX</t>
  </si>
  <si>
    <t xml:space="preserve">  Regional Market Expenses</t>
  </si>
  <si>
    <t>354.22.b</t>
  </si>
  <si>
    <t>354.21.b</t>
  </si>
  <si>
    <t xml:space="preserve">   Project ROE Incentive Adder (Enter as whole number)</t>
  </si>
  <si>
    <t>A.   Determine Net Revenue Requirement less return and Income Taxes.</t>
  </si>
  <si>
    <t>FERC</t>
  </si>
  <si>
    <t>Acct No.</t>
  </si>
  <si>
    <t>Allocation Method</t>
  </si>
  <si>
    <t>Line #</t>
  </si>
  <si>
    <t>Exclusions</t>
  </si>
  <si>
    <t>100% Transmission</t>
  </si>
  <si>
    <t>PTD Plant</t>
  </si>
  <si>
    <t>T&amp;D</t>
  </si>
  <si>
    <t>PTD</t>
  </si>
  <si>
    <t>TOTAL ELECTRIC ACCOUNT SUBTOTAL</t>
  </si>
  <si>
    <t>STEP 1</t>
  </si>
  <si>
    <t>PROJECTED YEAR Rev Require</t>
  </si>
  <si>
    <t>PROJECTED YEAR  W Incentives</t>
  </si>
  <si>
    <t>PROJECTED YEAR Incentive Amounts</t>
  </si>
  <si>
    <t>STEP 4</t>
  </si>
  <si>
    <t>Paste 3x1 range as values from WS-F support sheet.</t>
  </si>
  <si>
    <t>Blue text is driven by other FR Template sheets</t>
  </si>
  <si>
    <t>STEP 2</t>
  </si>
  <si>
    <t>STEP 3</t>
  </si>
  <si>
    <t>(absolute value Total Company Amount Ties to FF1 p.275(k) -- Acct 282 Electric)</t>
  </si>
  <si>
    <t>Development of Cost of  Long Term Debt Based on Average Outstanding Balance</t>
  </si>
  <si>
    <t>Total Hedge Amortization</t>
  </si>
  <si>
    <t>Financial Hedge Recovery Limit  - Five Basis Points of Total Capital</t>
  </si>
  <si>
    <t>Limit of Recoverable Amount</t>
  </si>
  <si>
    <t>Development of Cost of Preferred Stock</t>
  </si>
  <si>
    <t>Average Balance of Common Equity</t>
  </si>
  <si>
    <t>(Note E)</t>
  </si>
  <si>
    <t>(I)</t>
  </si>
  <si>
    <t>Balances</t>
  </si>
  <si>
    <t>(FF1 p.114, ln 19.c)</t>
  </si>
  <si>
    <t>Average</t>
  </si>
  <si>
    <t>FF1, page 219, ln 26, Col. (b)</t>
  </si>
  <si>
    <t>FF1, page 200, ln 21, Col. (b)</t>
  </si>
  <si>
    <t>(Note I) 321.84-92.b</t>
  </si>
  <si>
    <t>(Note J) 321.96.b</t>
  </si>
  <si>
    <t>323.189.b</t>
  </si>
  <si>
    <t>323.191.b</t>
  </si>
  <si>
    <t>323.192.b</t>
  </si>
  <si>
    <t>Worksheet L, Col. D</t>
  </si>
  <si>
    <t>Worksheet L, Col. C</t>
  </si>
  <si>
    <t>Worksheet L, Col. F</t>
  </si>
  <si>
    <t>Worksheet L, Col. E</t>
  </si>
  <si>
    <t>SUMMARY OF PROJECTED ANNUAL BASE PLAN AND  NON-BASE PLAN REVENUE REQUIREMENTS</t>
  </si>
  <si>
    <t xml:space="preserve">Plant </t>
  </si>
  <si>
    <t>Related</t>
  </si>
  <si>
    <t>Transmission Materials &amp; Supplies</t>
  </si>
  <si>
    <t>General Materials &amp; Supplies</t>
  </si>
  <si>
    <t xml:space="preserve">  Stores Expense </t>
  </si>
  <si>
    <t>Excludable</t>
  </si>
  <si>
    <t xml:space="preserve">   EIT=(T/(1-T)) * (1-(WCLTD/WACC)) =</t>
  </si>
  <si>
    <t xml:space="preserve">   Income Tax Calculation  (Return  x  EIT)</t>
  </si>
  <si>
    <t>The total-company balances shown for Accounts 281, 282, 283, 190 only reflect ADIT that relates to utility operations. The balance of Account 255 is reduced by</t>
  </si>
  <si>
    <t>Worksheet C.</t>
  </si>
  <si>
    <t>This additional revenue requirement is determined using a net plant carrying charge (fixed carrying charge or FCR) approach.  Worksheet G shows the calculation</t>
  </si>
  <si>
    <t>projects receiving incentives as accepted by FERC.  These individual additional revenue requirements are summed for the true-up year, and included here.</t>
  </si>
  <si>
    <t>( C )</t>
  </si>
  <si>
    <t xml:space="preserve">     Less: Account 565</t>
  </si>
  <si>
    <t>ACCUMULATED DEPRECIATION AND AMORTIZATION</t>
  </si>
  <si>
    <t>WACC=</t>
  </si>
  <si>
    <t>TP1=</t>
  </si>
  <si>
    <t>Non-</t>
  </si>
  <si>
    <t xml:space="preserve">IPP CONTRIBUTIONS FOR CONSTRUCTION  </t>
  </si>
  <si>
    <t>TAXES OTHER THAN INCOME</t>
  </si>
  <si>
    <t>TOTAL OTHER TAXES</t>
  </si>
  <si>
    <t>TOTAL INCOME TAXES</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</si>
  <si>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</si>
  <si>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</si>
  <si>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</si>
  <si>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</si>
  <si>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</si>
  <si>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</si>
  <si>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</si>
  <si>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</si>
  <si>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</si>
  <si>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</si>
  <si>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</si>
  <si>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</si>
  <si>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</si>
  <si>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</si>
  <si>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</si>
  <si>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</si>
  <si>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</si>
  <si>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</si>
  <si>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</si>
  <si>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</si>
  <si>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</si>
  <si>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</si>
  <si>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</si>
  <si>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</si>
  <si>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</si>
  <si>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</si>
  <si>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</si>
  <si>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</si>
  <si>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</si>
  <si>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</si>
  <si>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</si>
  <si>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</si>
  <si>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</si>
  <si>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</si>
  <si>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</si>
  <si>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</si>
  <si>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</si>
  <si>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</si>
  <si>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</si>
  <si>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</si>
  <si>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</si>
  <si>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</si>
  <si>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</si>
  <si>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</si>
  <si>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</si>
  <si>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</si>
  <si>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</si>
  <si>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</si>
  <si>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</si>
  <si>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</si>
  <si>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</si>
  <si>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</si>
  <si>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</si>
  <si>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</si>
  <si>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</si>
  <si>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</si>
  <si>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</si>
  <si>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</si>
  <si>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</si>
  <si>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</si>
  <si>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</si>
  <si>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</si>
  <si>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</si>
  <si>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</si>
  <si>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</si>
  <si>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</si>
  <si>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</si>
  <si>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</si>
  <si>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</si>
  <si>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</si>
  <si>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</si>
  <si>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</si>
  <si>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</si>
  <si>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</si>
  <si>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</si>
  <si>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</si>
  <si>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</si>
  <si>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</si>
  <si>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</si>
  <si>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</si>
  <si>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</si>
  <si>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</si>
  <si>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</si>
  <si>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</si>
  <si>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</si>
  <si>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</si>
  <si>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</si>
  <si>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</si>
  <si>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</si>
  <si>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</si>
  <si>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</si>
  <si>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</si>
  <si>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</si>
  <si>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</si>
  <si>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</si>
  <si>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</si>
  <si>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</si>
  <si>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</si>
  <si>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</si>
  <si>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</si>
  <si>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</si>
  <si>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Balance</t>
  </si>
  <si>
    <t>Total Included</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</si>
  <si>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</si>
  <si>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</si>
  <si>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</si>
  <si>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</si>
  <si>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</si>
  <si>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</si>
  <si>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</si>
  <si>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</si>
  <si>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</si>
  <si>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</si>
  <si>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</si>
  <si>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</si>
  <si>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</si>
  <si>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</si>
  <si>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</si>
  <si>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</si>
  <si>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</si>
  <si>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RETURN ON RATE BASE (Rate Base*WACC)</t>
  </si>
  <si>
    <t xml:space="preserve">  Other (Excludes A&amp;G) </t>
  </si>
  <si>
    <t/>
  </si>
  <si>
    <t>basis points</t>
  </si>
  <si>
    <t>Copy this 24x2 range to WS-G support sheet INPUT area</t>
  </si>
  <si>
    <t>Apportionment Factor</t>
  </si>
  <si>
    <t>Total Effective State Income Tax Rate</t>
  </si>
  <si>
    <t>Cash Working Capital</t>
  </si>
  <si>
    <t>PLANT HELD FOR FUTURE USE</t>
  </si>
  <si>
    <t xml:space="preserve">   R   (from A. above)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</si>
  <si>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</si>
  <si>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</si>
  <si>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</si>
  <si>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</si>
  <si>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</si>
  <si>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</si>
  <si>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</si>
  <si>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</si>
  <si>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</si>
  <si>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GTD=</t>
  </si>
  <si>
    <t>made contributions toward the construction of System upgrades, and includes accrued interest and unreturned balance of contributions.  The annual interest</t>
  </si>
  <si>
    <t>Long Term Interest</t>
  </si>
  <si>
    <t xml:space="preserve">Preferred Dividends </t>
  </si>
  <si>
    <t xml:space="preserve">Accounting Adjustment </t>
  </si>
  <si>
    <t xml:space="preserve">           Acct. 928 - Transmission Specific</t>
  </si>
  <si>
    <t xml:space="preserve">CALCULATION OF TEXAS GROSS MARGIN TAX </t>
  </si>
  <si>
    <t xml:space="preserve">           Acct 930.1 - Only safety related ads -Direct</t>
  </si>
  <si>
    <t xml:space="preserve">           Acct 930.2 - Misc Gen. Exp. - Trans</t>
  </si>
  <si>
    <t>Development of Common Stock:</t>
  </si>
  <si>
    <t xml:space="preserve">Proprietary Capital </t>
  </si>
  <si>
    <t>Less Account 219</t>
  </si>
  <si>
    <t>Common Stock</t>
  </si>
  <si>
    <t>N</t>
  </si>
  <si>
    <t xml:space="preserve">  Annual Rate</t>
  </si>
  <si>
    <t xml:space="preserve">  Monthly Rate</t>
  </si>
  <si>
    <t>Weighted cost</t>
  </si>
  <si>
    <t>Rev Require</t>
  </si>
  <si>
    <t>Incentive Amounts</t>
  </si>
  <si>
    <t>Long Term Debt</t>
  </si>
  <si>
    <t>Preferred Stock</t>
  </si>
  <si>
    <t>R =</t>
  </si>
  <si>
    <t xml:space="preserve">   Return (Rate Base  x  R)</t>
  </si>
  <si>
    <t xml:space="preserve">   Return   (from B. above)</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</si>
  <si>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</si>
  <si>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</si>
  <si>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</si>
  <si>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</si>
  <si>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</si>
  <si>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</si>
  <si>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Investment</t>
  </si>
  <si>
    <t>SUMMARY OF TRUED-UP ANNUAL REVENUE REQUIREMENTS FOR SPP BPU &amp; NON-BPU PROJECTS</t>
  </si>
  <si>
    <r>
      <t xml:space="preserve">   Return   (from </t>
    </r>
    <r>
      <rPr>
        <sz val="10"/>
        <rFont val="MS Serif"/>
        <family val="1"/>
      </rPr>
      <t>I</t>
    </r>
    <r>
      <rPr>
        <sz val="10"/>
        <rFont val="Arial"/>
        <family val="2"/>
      </rPr>
      <t>.B. above)</t>
    </r>
  </si>
  <si>
    <t>TOTAL DEPRECIATION AND AMORTIZATI0N</t>
  </si>
  <si>
    <t>O</t>
  </si>
  <si>
    <t xml:space="preserve">  Prepayments (Account 165) - Transmission Only</t>
  </si>
  <si>
    <t>Account</t>
  </si>
  <si>
    <t>Property</t>
  </si>
  <si>
    <t>Non-Allocable</t>
  </si>
  <si>
    <t xml:space="preserve"> Total Taxes by Allocable Basis</t>
  </si>
  <si>
    <t xml:space="preserve">Miscellaneous Taxes </t>
  </si>
  <si>
    <t>Revenue Taxes</t>
  </si>
  <si>
    <t>Real Estate and Personal Property Taxes</t>
  </si>
  <si>
    <t xml:space="preserve">Payroll Taxes </t>
  </si>
  <si>
    <t>DEFERRED TAX ADJUSTMENTS TO RATE BASE</t>
  </si>
  <si>
    <t xml:space="preserve">     Less: Total Account 561</t>
  </si>
  <si>
    <t xml:space="preserve">               Acct. 928, Reg. Com. Exp.</t>
  </si>
  <si>
    <t xml:space="preserve">  Less:    Acct. 924, Property Insurance</t>
  </si>
  <si>
    <t xml:space="preserve">               Acct. 930.2, Misc. Gen. Exp.</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</si>
  <si>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</si>
  <si>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</si>
  <si>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</si>
  <si>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</si>
  <si>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</si>
  <si>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</si>
  <si>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The currently effective income tax rate,  where FIT is the Federal income tax rate; SIT is the State income tax rate, and p =</t>
  </si>
  <si>
    <t>Account 4540005 - Rent from Elect Property - Pole Attach</t>
  </si>
  <si>
    <t>(Note T)</t>
  </si>
  <si>
    <t>TEXAS GROSS MARGIN TAX (Note P) (Worksheet K)</t>
  </si>
  <si>
    <t xml:space="preserve">       and FIT, SIT &amp; p are as given in Note O.</t>
  </si>
  <si>
    <t xml:space="preserve"> (Note O)</t>
  </si>
  <si>
    <t>(Note N)</t>
  </si>
  <si>
    <t>323.197.b (Note K, M)</t>
  </si>
  <si>
    <t>prior flow throughs and is completely excluded if the utility chose to utilize amortization of tax credits against FIT expense as discussed in Note N.  An exception to</t>
  </si>
  <si>
    <t>Rate Year</t>
  </si>
  <si>
    <t>Rate Year Average Balances</t>
  </si>
  <si>
    <t>Capital Structure Percentage</t>
  </si>
  <si>
    <t>Income Tax Prior to Adjustments</t>
  </si>
  <si>
    <t>ITC adjustment</t>
  </si>
  <si>
    <t xml:space="preserve">Explanation of Transmission </t>
  </si>
  <si>
    <t>Specific Items</t>
  </si>
  <si>
    <t>True-Up Rate Year</t>
  </si>
  <si>
    <t xml:space="preserve">∑ True Up Year Projected  WS-F  </t>
  </si>
  <si>
    <t>are contained in a separate file</t>
  </si>
  <si>
    <t>∑ Projected Year</t>
  </si>
  <si>
    <t>State Income Tax Rate -</t>
  </si>
  <si>
    <t>Note: Worksheets F and G are both populated from the TCOS worksheet every update. Worksheet F is only used in Projections. Worksheet G is used only in True-Ups. These worksheets add up all of the individual SPP Base Plan projects, Requested Upgrades, Economic Upgrades, or any other projects billed by SPP through other than the NITS rate.</t>
  </si>
  <si>
    <t xml:space="preserve">∑ True-Up Year True-Up WS-G  </t>
  </si>
  <si>
    <t xml:space="preserve"> With Incentives</t>
  </si>
  <si>
    <t>OUTPUT (Copy) to WS.F'G.Support.File (WS-G tab)</t>
  </si>
  <si>
    <t>is in Worksheet F/G project detaills workbook (WS G tab)</t>
  </si>
  <si>
    <t>IMPORT (paste.values) DATA from Support file sheet WS.G</t>
  </si>
  <si>
    <t>is in Worksheet F/G project detaills workbook (WS F tab)</t>
  </si>
  <si>
    <t>OUTPUT (Copy) to WS.F/G.Support.File (WS-F tab)</t>
  </si>
  <si>
    <t>PART IV ---Projected Base Plan Project Tables</t>
  </si>
  <si>
    <t>PART IV --- True-Up Base Plan Project Tables</t>
  </si>
  <si>
    <t>Long Term Debt %</t>
  </si>
  <si>
    <t>Long Term Debt Cost</t>
  </si>
  <si>
    <t>Preferred Stock %</t>
  </si>
  <si>
    <t>Preferred Stock Cost</t>
  </si>
  <si>
    <t>Common Stock %</t>
  </si>
  <si>
    <t>Determine the Revenue Requirement &amp; Additional Revenue Requirement for facilities receiving incentives.</t>
  </si>
  <si>
    <t>A.   Facilities receiving incentives accepted by FERC in Docket No.</t>
  </si>
  <si>
    <t xml:space="preserve">Project Description: </t>
  </si>
  <si>
    <t>Current Projected Year Incentive ARR</t>
  </si>
  <si>
    <t>DETAILS</t>
  </si>
  <si>
    <t>Investment (EOY)</t>
  </si>
  <si>
    <t>CUMMULATIVE HISTORY OF PROJECTED ANNUAL REVENUE REQUIREMENTS:</t>
  </si>
  <si>
    <t>Service Year (yyyy)</t>
  </si>
  <si>
    <t>ROE increase accepted by FERC (Basis Points)</t>
  </si>
  <si>
    <t>Service Month (1-12)</t>
  </si>
  <si>
    <t>FCR w/o incentives, less depreciation</t>
  </si>
  <si>
    <t xml:space="preserve">          TEMPLATE BELOW TO MAINTAIN HISTORY OF PROJECTED ARRS OVER THE </t>
  </si>
  <si>
    <t>Useful life</t>
  </si>
  <si>
    <t>FCR w/incentives approved for these facilities, less dep.</t>
  </si>
  <si>
    <t xml:space="preserve">         LIFE OF THE PROJECT.</t>
  </si>
  <si>
    <t>CIAC (Yes or No)</t>
  </si>
  <si>
    <t>Annual Depreciation Expense</t>
  </si>
  <si>
    <t>Beginning</t>
  </si>
  <si>
    <t>Depreciation</t>
  </si>
  <si>
    <t>Ending</t>
  </si>
  <si>
    <t>Annual
Revenue</t>
  </si>
  <si>
    <t>Annual Revenue Req't.</t>
  </si>
  <si>
    <t>Additional Rev.</t>
  </si>
  <si>
    <t>PROJECTED Rev. Req't From Prior Year Template</t>
  </si>
  <si>
    <t>Project Rev Req't True-up</t>
  </si>
  <si>
    <t>True-up of Incentive</t>
  </si>
  <si>
    <t>Year</t>
  </si>
  <si>
    <t xml:space="preserve">Requirement </t>
  </si>
  <si>
    <t xml:space="preserve">with Incentives </t>
  </si>
  <si>
    <t xml:space="preserve">  </t>
  </si>
  <si>
    <t xml:space="preserve">w/o Incentives </t>
  </si>
  <si>
    <t>Project Totals</t>
  </si>
  <si>
    <t>additional incentive requirement is applicable for the life of this specific project.  Each year the revenue requirement calculated for SPP</t>
  </si>
  <si>
    <t xml:space="preserve">should be incremented by the amount of the incentive revenue calculated for that year on this project. </t>
  </si>
  <si>
    <t>Worksheet F</t>
  </si>
  <si>
    <t>Current Projected Year ARR</t>
  </si>
  <si>
    <t>Current Projected Year ARR w/ Incentive</t>
  </si>
  <si>
    <t>Determine the Revenue Requirement, and Additional Revenue Requirement for facilities receiving incentives.</t>
  </si>
  <si>
    <t>w/Incentives</t>
  </si>
  <si>
    <t>Project Description:</t>
  </si>
  <si>
    <t xml:space="preserve">True-Up Adjustment  </t>
  </si>
  <si>
    <t>Details</t>
  </si>
  <si>
    <t>CUMMULATIVE HISTORY OF TRUED-UP ANNUAL REVENUE REQUIREMENTS:</t>
  </si>
  <si>
    <t>2013</t>
  </si>
  <si>
    <t xml:space="preserve">          INPUT TRUE-UP ARR (WITH &amp; WITHOUT INCENTIVES) FROM EACH PRIOR YEAR</t>
  </si>
  <si>
    <t xml:space="preserve">          TEMPLATE BELOW TO MAINTAIN HISTORY OF TRUED-UP ARRS OVER THE </t>
  </si>
  <si>
    <t>Annual Revenue</t>
  </si>
  <si>
    <t>Incentive Rev.</t>
  </si>
  <si>
    <t>BPU Rev. Req't.From Prior Year Template</t>
  </si>
  <si>
    <t>BPU Rev Req't True-up</t>
  </si>
  <si>
    <t xml:space="preserve">Rate Year Projected  (WS-F)  </t>
  </si>
  <si>
    <t xml:space="preserve">Rate Year True-Up  (WS-G)  </t>
  </si>
  <si>
    <t xml:space="preserve"> Worksheet G</t>
  </si>
  <si>
    <t>WS F INPUT/OUTPUT ranges. Do not include in print range or tariff</t>
  </si>
  <si>
    <t>WS G INPUT/OUTPUT ranges. Do not include in print range or tariff</t>
  </si>
  <si>
    <t>Total Rents from Electric Property</t>
  </si>
  <si>
    <t>Other 454 Accounts</t>
  </si>
  <si>
    <t>Projected / Actual</t>
  </si>
  <si>
    <t>Excess / (Deficit) Deferred Income Tax</t>
  </si>
  <si>
    <t>Note: Account 281 is not allocated to Transmission</t>
  </si>
  <si>
    <t>Account 190 - Form-1 page 234, Ln 8, Col. (b) &amp; ( c)</t>
  </si>
  <si>
    <t>Account 282 - Form-1 page 274.2.b and 275.2.k</t>
  </si>
  <si>
    <t>Account 283 - Form-1 page 276.9.b and 277.9.k</t>
  </si>
  <si>
    <t>Annual forecasted change</t>
  </si>
  <si>
    <t>Monthly forecasted change</t>
  </si>
  <si>
    <t>Future Test Period</t>
  </si>
  <si>
    <t>Proratable Deferred Tax Activity</t>
  </si>
  <si>
    <t>Prorated Item</t>
  </si>
  <si>
    <t>Beginning Balance</t>
  </si>
  <si>
    <t>January (line 4)</t>
  </si>
  <si>
    <t>February</t>
  </si>
  <si>
    <t>October</t>
  </si>
  <si>
    <t>November</t>
  </si>
  <si>
    <t>Ending Balance</t>
  </si>
  <si>
    <t>Deferred Tax Balance</t>
  </si>
  <si>
    <t>Days in Month</t>
  </si>
  <si>
    <t>Number of Days Left in Period</t>
  </si>
  <si>
    <t>Proration Amount</t>
  </si>
  <si>
    <t>Prorated Balance</t>
  </si>
  <si>
    <t>WS C-1</t>
  </si>
  <si>
    <t>WS C-2</t>
  </si>
  <si>
    <t>Prorated Average balance</t>
  </si>
  <si>
    <t>Line No.</t>
  </si>
  <si>
    <t>Note:</t>
  </si>
  <si>
    <t>Facility Credits under the SPP OATT</t>
  </si>
  <si>
    <r>
      <t xml:space="preserve"> </t>
    </r>
    <r>
      <rPr>
        <b/>
        <sz val="14"/>
        <rFont val="Arial"/>
        <family val="2"/>
      </rPr>
      <t>Worksheet C</t>
    </r>
    <r>
      <rPr>
        <sz val="14"/>
        <rFont val="Arial"/>
        <family val="2"/>
      </rPr>
      <t xml:space="preserve"> - ADIT and ADITC Balances</t>
    </r>
  </si>
  <si>
    <t>Network Customer Owned Facility Credits</t>
  </si>
  <si>
    <t>Removes transmission plant (e.g. step-up transformers) included in the development of OATT ancillary service rates and not already removed for reasons indicated in Note Q.</t>
  </si>
  <si>
    <t xml:space="preserve">Calculation of Actual/ Projected Zonal Rate For Schedule 9 </t>
  </si>
  <si>
    <t>Network Service</t>
  </si>
  <si>
    <t>RATE YEAR REVENUE REQUIREMENT (w/o incentives)</t>
  </si>
  <si>
    <t>NETWORK CUSTOMER OWNED FACILITY CREDITS</t>
  </si>
  <si>
    <t>LESS: REVENUE CREDITS</t>
  </si>
  <si>
    <t>RATE YEAR ZONE 1 AEP NETWORK SERVICE REVENUE REQUIREMENT</t>
  </si>
  <si>
    <t xml:space="preserve">LESS:  REVENUE REQUIREMENTS INCLUDED IN LINE 1 FOR: </t>
  </si>
  <si>
    <t xml:space="preserve">      BASE PLAN UPGRADES (W/O INCENTIVES)</t>
  </si>
  <si>
    <t xml:space="preserve">      REQUESTED UPGRADES (W/O INCENTIVES)</t>
  </si>
  <si>
    <t xml:space="preserve">      ECONOMIC UPGRADES (W/O INCENTIVES)</t>
  </si>
  <si>
    <t xml:space="preserve">      SUBTOTAL</t>
  </si>
  <si>
    <t>EXISTING ZONAL ATRR (W/O INCENTIVES)</t>
  </si>
  <si>
    <t>INCENTIVE REVENUE REQUIREMENT FOR ZONAL PROJECTS</t>
  </si>
  <si>
    <t>RATE YEAR ZONAL ATRR (W/ INCENTIVES)</t>
  </si>
  <si>
    <t>Actual/Projected Rate Year AEP West Zone Average 12-Mo. Peak Demand, MW</t>
  </si>
  <si>
    <t>Less:  Load Dispatch - Scheduling, System Control and Dispatch Services (321.88.b)</t>
  </si>
  <si>
    <t>Less:  Load Dispatch - Reliability, Planning &amp; Standards Development Services (321.92.b)</t>
  </si>
  <si>
    <t>Less:  PTP Service Credit (prior year Sched 1 revenue from PTP transactions)</t>
  </si>
  <si>
    <t>ZONAL ARR FOR RATE YEAR</t>
  </si>
  <si>
    <t>Rate Year AEP West Zone SPP Average 12-Mo. Peak Demand</t>
  </si>
  <si>
    <t xml:space="preserve">AEP Schedule 11 Revenue Requirement Including True-Up of Prior Collections </t>
  </si>
  <si>
    <t>(L)</t>
  </si>
  <si>
    <t>(M)</t>
  </si>
  <si>
    <t>(O)</t>
  </si>
  <si>
    <t>Base ARR</t>
  </si>
  <si>
    <t>Incentive ARR</t>
  </si>
  <si>
    <t>Sheet Name</t>
  </si>
  <si>
    <t>Owner</t>
  </si>
  <si>
    <t>Project Description</t>
  </si>
  <si>
    <t>Year in Service</t>
  </si>
  <si>
    <t>Incentive</t>
  </si>
  <si>
    <t>True-up</t>
  </si>
  <si>
    <t>Peak Day</t>
  </si>
  <si>
    <t>12 Month</t>
  </si>
  <si>
    <t xml:space="preserve">Line </t>
  </si>
  <si>
    <t>Peak Hour</t>
  </si>
  <si>
    <t>SPP Load Responsibility</t>
  </si>
  <si>
    <t>Supporting Data</t>
  </si>
  <si>
    <t>PSO:</t>
  </si>
  <si>
    <t xml:space="preserve">SWEPCO: </t>
  </si>
  <si>
    <t>Unless noted (e.g., PSO), the loads reported on lines 1 through 20 are the customer's schedule 9 and 11 load.</t>
  </si>
  <si>
    <t>System Firm Peak Demands</t>
  </si>
  <si>
    <t>Sched - 9 12CP</t>
  </si>
  <si>
    <t>`</t>
  </si>
  <si>
    <t xml:space="preserve">PSO OATT Load Responsibility </t>
  </si>
  <si>
    <t xml:space="preserve">SWEPCO OATT Load Responsibility </t>
  </si>
  <si>
    <t>pr yr</t>
  </si>
  <si>
    <t>Sched - 11 12CP</t>
  </si>
  <si>
    <t>AEP Schedule 11 Worksheet</t>
  </si>
  <si>
    <t>TOTAL AEP Affiliate Schedule 11 Load</t>
  </si>
  <si>
    <t>TOTAL AEP ZONAL SCHEDULE 11</t>
  </si>
  <si>
    <t xml:space="preserve">Combined Load Worksheet </t>
  </si>
  <si>
    <t>1650001</t>
  </si>
  <si>
    <t>Prepaid Insurance - EIS</t>
  </si>
  <si>
    <t>2821001</t>
  </si>
  <si>
    <t>2831001</t>
  </si>
  <si>
    <t>1901001</t>
  </si>
  <si>
    <t>Tax Effect of Permanent and Flow Through Differences</t>
  </si>
  <si>
    <t>Interest Accrual (Company Records)</t>
  </si>
  <si>
    <t>Revenue Credits to Generators (Company Records)</t>
  </si>
  <si>
    <t>Other Adjustments (Company Records)</t>
  </si>
  <si>
    <t>Account 457.1, Regional Control Service  Revenues (FF1 p.300.23.(b); Company Records - Note 1)</t>
  </si>
  <si>
    <t>Account 457.2, Miscellaneous Revenues (FF1p.300.24.(b); Company Records - Note 1)</t>
  </si>
  <si>
    <t>Note 1: Data for this worksheet came from the FERC Form 1 and the Company's General Ledger.</t>
  </si>
  <si>
    <t>Line:</t>
  </si>
  <si>
    <t>Account 456.1, Revenues from Transmission of Electricity of Others (FF1 p.300.22.(b); Company Records - Note 1)</t>
  </si>
  <si>
    <t>Worksheet H - Revenue Credits</t>
  </si>
  <si>
    <t>(Note A) (Worksheet H)</t>
  </si>
  <si>
    <t>Account 456.0 Other Operating Revenues  (FF1 p.300.21.(b); Company Records - Note 1)</t>
  </si>
  <si>
    <t>All Other 456.0 Revenues</t>
  </si>
  <si>
    <t>Total (FERC Form 1 p.323.189.b)</t>
  </si>
  <si>
    <t>Total (FERC Form 1 p.323.191.b)</t>
  </si>
  <si>
    <t>Total (FERC Form 1 p.323.192.b)</t>
  </si>
  <si>
    <t>Interest on Long Term Debt - Accts 221 - 224 (256-257.33.i)</t>
  </si>
  <si>
    <t>GP</t>
  </si>
  <si>
    <t>GP=</t>
  </si>
  <si>
    <t>NP=</t>
  </si>
  <si>
    <t>The amount of eligible hedging gains or losses included in total interest expense is limited to five basis points of the capital structure.  Details and calculations of the weighted average cost of capital are shown on Worksheet M.  Eligible Hedging Gains and Losses are computed on Worksheet M. The unamortized balance of eligible hedge gains/losses and related ADIT amounts shall not flow through the formula rate.</t>
  </si>
  <si>
    <t>REGULATORY ASSETS</t>
  </si>
  <si>
    <t xml:space="preserve">Account 451, Misc. Service Revenues (FF1 p.300.17.(b); Company Records - Note 1) </t>
  </si>
  <si>
    <t xml:space="preserve">Total 456.0 Other Operating Revenues </t>
  </si>
  <si>
    <t>Account 190 Proration Adjustment</t>
  </si>
  <si>
    <t>Account 282 Proration Adjustment</t>
  </si>
  <si>
    <t xml:space="preserve">Note: This workpaper documents the calculation of the rate base adjustment to prorate forecasted activity in ADIT required by IRS regulation Section1.167(I)-I(h)(6)(ii) when preparing forecasted rates. This worksheet is not used during Annual True-Ups. Proratable activity in Account 282 results from the use of accelerated tax depreciation on additions to plant in service.  The adjustment on line 19 is included on Worksheet C as a reduction to the ending forecasted ADIT balance of account 282. A proration adjustment for account 190, if any, will be calculated beginning on line 20. </t>
  </si>
  <si>
    <t>Average Balance before Proration</t>
  </si>
  <si>
    <t>Transmission Allocator from TCOS</t>
  </si>
  <si>
    <r>
      <t xml:space="preserve">Transmission Allocator from </t>
    </r>
    <r>
      <rPr>
        <b/>
        <sz val="10"/>
        <rFont val="Arial"/>
        <family val="2"/>
      </rPr>
      <t>TCOS</t>
    </r>
  </si>
  <si>
    <t xml:space="preserve">AEP West SPP Member Operating Companies </t>
  </si>
  <si>
    <t xml:space="preserve">     Plus: Includable 561 and 565 Expenses</t>
  </si>
  <si>
    <t>Under Section 30.9 of the SPP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</si>
  <si>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Worksheet B</t>
  </si>
  <si>
    <r>
      <t>True</t>
    </r>
    <r>
      <rPr>
        <strike/>
        <sz val="12"/>
        <rFont val="Arial"/>
        <family val="2"/>
      </rPr>
      <t>d</t>
    </r>
    <r>
      <rPr>
        <sz val="12"/>
        <rFont val="Arial"/>
        <family val="2"/>
      </rPr>
      <t>-Up / Projected Revenue Requirement for SPP BPU Regional Facilities (w/o incentives)  (Worksheet F/G)</t>
    </r>
  </si>
  <si>
    <t>this is pre-1971 ITC balances, which are required to be taken as an offset to rate base. Account 281 is not allocated to transmission.  Transmission allocations are shown on</t>
  </si>
  <si>
    <t>Includes only FICA, unemployment,  property and other assessments charged in the current year.  Gross Receipts tax, Sales &amp; Use taxes, local franchise taxes, and taxes related to income are excluded.</t>
  </si>
  <si>
    <r>
      <t xml:space="preserve"> Worksheet B</t>
    </r>
    <r>
      <rPr>
        <sz val="12"/>
        <rFont val="Arial"/>
        <family val="2"/>
      </rPr>
      <t xml:space="preserve"> - Third Party Facility Credits</t>
    </r>
  </si>
  <si>
    <r>
      <rPr>
        <b/>
        <sz val="14"/>
        <rFont val="Arial"/>
        <family val="2"/>
      </rPr>
      <t xml:space="preserve">WORKSHEET C-1 </t>
    </r>
    <r>
      <rPr>
        <sz val="14"/>
        <rFont val="Arial"/>
        <family val="2"/>
      </rPr>
      <t>- END OF YEAR DETAIL OF DEFERRED INCOME TAX BALANCES</t>
    </r>
  </si>
  <si>
    <r>
      <rPr>
        <b/>
        <sz val="14"/>
        <rFont val="Arial"/>
        <family val="2"/>
      </rPr>
      <t xml:space="preserve">WORKSHEET C-2 </t>
    </r>
    <r>
      <rPr>
        <sz val="14"/>
        <rFont val="Arial"/>
        <family val="2"/>
      </rPr>
      <t>-BEGINNING OF YEAR DETAIL OF DEFERRED INCOME TAX BALANCES</t>
    </r>
  </si>
  <si>
    <r>
      <rPr>
        <b/>
        <sz val="14"/>
        <rFont val="Arial"/>
        <family val="2"/>
      </rPr>
      <t xml:space="preserve">WORKSHEET C-3 </t>
    </r>
    <r>
      <rPr>
        <sz val="14"/>
        <rFont val="Arial"/>
        <family val="2"/>
      </rPr>
      <t>-PRORATION OF PROPERTY-RELATED DEFERRED INCOME TAX BALANCES</t>
    </r>
  </si>
  <si>
    <t xml:space="preserve">&lt;==Incentive ROE </t>
  </si>
  <si>
    <r>
      <t xml:space="preserve"> </t>
    </r>
    <r>
      <rPr>
        <b/>
        <sz val="14"/>
        <rFont val="Arial"/>
        <family val="2"/>
      </rPr>
      <t>Worksheet F</t>
    </r>
    <r>
      <rPr>
        <sz val="14"/>
        <rFont val="Arial"/>
        <family val="2"/>
      </rPr>
      <t xml:space="preserve"> - Calculation of PROJECTED Annual Revenue Requirement for Base Plan and Special-Billed Projects</t>
    </r>
  </si>
  <si>
    <t>Requirement **</t>
  </si>
  <si>
    <t>with Incentives **</t>
  </si>
  <si>
    <t>** This is the calculation of  additional incentive revenue on projects deemed by the FERC to be eligible for an incentive return.  This</t>
  </si>
  <si>
    <t>&lt;==Incentive ROE</t>
  </si>
  <si>
    <r>
      <t xml:space="preserve"> </t>
    </r>
    <r>
      <rPr>
        <b/>
        <sz val="14"/>
        <rFont val="Arial"/>
        <family val="2"/>
      </rPr>
      <t>Worksheet G</t>
    </r>
    <r>
      <rPr>
        <sz val="14"/>
        <rFont val="Arial"/>
        <family val="2"/>
      </rPr>
      <t xml:space="preserve"> - Calculation of TRUED-UP Annual Revenue Requirement for Base Plan and Special-Billed Projects</t>
    </r>
  </si>
  <si>
    <t xml:space="preserve">**  This is the total amount that needs to be reported to SPP for billing to all regions. </t>
  </si>
  <si>
    <r>
      <t xml:space="preserve">** </t>
    </r>
    <r>
      <rPr>
        <b/>
        <sz val="10"/>
        <rFont val="Arial"/>
        <family val="2"/>
      </rPr>
      <t>This is the calculation of  additional incentive revenue on projects deemed by the FERC to be eligible for an incentive return.  This</t>
    </r>
  </si>
  <si>
    <t>Project Number</t>
  </si>
  <si>
    <t xml:space="preserve">Account 450, Forfeited Discounts (FF1 p.300.16.(b); Company Records - Note 1) </t>
  </si>
  <si>
    <t xml:space="preserve">Account 454, Rent from Electric Property (FF1 p.300.19.(b); Company Records - Note 1) </t>
  </si>
  <si>
    <t xml:space="preserve">          Net 456.1 Transmission Credits </t>
  </si>
  <si>
    <t>Note: This worksheet is used to include any FERC jurisdictional transmission-related (i.e. non-retail) expenses recorded in Accounts 561 or 565 which are includable in the formula on TCOS line 66,  and make any other necessary FERC jursdictional adjustments to Transmission O&amp;M.</t>
  </si>
  <si>
    <t xml:space="preserve">Note 1 --- The Oklahoma State Income Tax Rate of 6% is reduced to 5.66% due to the deductibility of </t>
  </si>
  <si>
    <t>Taxable Percentage of Revenue</t>
  </si>
  <si>
    <t>Texas Gross Margin Tax Rate</t>
  </si>
  <si>
    <t>Amort of Debt Discount &amp; Expense - Acct 428 (117.63.c)</t>
  </si>
  <si>
    <t>Amort of Loss on Reacquired Debt - Acct 428.1 (117.64.c)</t>
  </si>
  <si>
    <t>Less: Amort of Premium on Debt - Acct 429 (117.65.c)</t>
  </si>
  <si>
    <t>Less: Amort of Gain on Reacquired Debt - Acct 429.1 (117.66.c)</t>
  </si>
  <si>
    <t>ADDITIONAL REVENUE REQUIREMENT for projects w/ incentive ROE's (Note C) (Worksheet F/G)</t>
  </si>
  <si>
    <t>REVENUE REQUIREMENT INCL GROSS MARGIN TAX</t>
  </si>
  <si>
    <t>General Note: True Up References to data from FERC Form 1 are indicated as:  page#.line#.col.#. Rate Year Projections from Company forecasts.</t>
  </si>
  <si>
    <t>Company Records</t>
  </si>
  <si>
    <t>U</t>
  </si>
  <si>
    <t>230A</t>
  </si>
  <si>
    <t>230X</t>
  </si>
  <si>
    <t>295A</t>
  </si>
  <si>
    <t>320A</t>
  </si>
  <si>
    <t>380J</t>
  </si>
  <si>
    <t>712K</t>
  </si>
  <si>
    <t>910K</t>
  </si>
  <si>
    <t>014C-DSIT</t>
  </si>
  <si>
    <t>911Q-DSIT</t>
  </si>
  <si>
    <t>DSIT ENTRY - NORMALIZED</t>
  </si>
  <si>
    <r>
      <t xml:space="preserve">State Income Tax Rate - </t>
    </r>
    <r>
      <rPr>
        <strike/>
        <sz val="12"/>
        <color indexed="10"/>
        <rFont val="Arial"/>
        <family val="2"/>
      </rPr>
      <t/>
    </r>
  </si>
  <si>
    <t xml:space="preserve">State Income Tax Rate - </t>
  </si>
  <si>
    <t>Recoverable PBOP expense is based on actual annual PBOP costs, including charges from the AEP Service Corporation. The PBOP amounts are included in the Administrative and General total, and are based on current year expenses.  The annual actuarial valuation report supporting the derivation of the PBOP expense, along with an explanation of PBOP derivation process, is submitted during the formula rate annual update.</t>
  </si>
  <si>
    <t xml:space="preserve">The Texas Gross Margin tax is calculated on the Texas allocated revenue of the Company, reduced by cost of goods sold deduction to derive a </t>
  </si>
  <si>
    <t xml:space="preserve">SPP Zone 1 Actual/ Projected AEP Revenue Requirements </t>
  </si>
  <si>
    <t>Company Records (Note O)</t>
  </si>
  <si>
    <t>336.1.d</t>
  </si>
  <si>
    <t>General Plant and Administrative &amp; General expenses may be functionalized based on allocators other than the W/S allocator.  Full documentation must be provided.</t>
  </si>
  <si>
    <t xml:space="preserve">       Taxable Percentage of Revenue</t>
  </si>
  <si>
    <t>*&lt;$100K investment,</t>
  </si>
  <si>
    <t>Total Adjustments before Interest</t>
  </si>
  <si>
    <r>
      <t xml:space="preserve">Calculation of Schedule </t>
    </r>
    <r>
      <rPr>
        <sz val="12"/>
        <rFont val="Arial"/>
        <family val="2"/>
      </rPr>
      <t>11 Revenue Requirements For AEP Transmission Projects</t>
    </r>
  </si>
  <si>
    <t>AEP Transmission Formula Rate Template</t>
  </si>
  <si>
    <t>Rate Year ending balance</t>
  </si>
  <si>
    <t>Rate Year beginning balance</t>
  </si>
  <si>
    <t>Note:  Project's whose investment cost do NOT meet SPP's $100,000 threshold for 'regional' socialization are marked with an asterik "*" as SPP will only collect those ATRRs from the zone.</t>
  </si>
  <si>
    <t>Worksheet N - Schedule 11 True-up With Interest</t>
  </si>
  <si>
    <t>True-up Adjustment - Over (Under) Recovery</t>
  </si>
  <si>
    <t>True Up Year:</t>
  </si>
  <si>
    <t>Intermediate Year:</t>
  </si>
  <si>
    <t>-</t>
  </si>
  <si>
    <t>=</t>
  </si>
  <si>
    <t>Rate Year:</t>
  </si>
  <si>
    <t>Month</t>
  </si>
  <si>
    <t>Refunds/
(Surcharges)</t>
  </si>
  <si>
    <t>Cumulative Refunds/(Surcharges) - Beginning of Month (Without Interest)</t>
  </si>
  <si>
    <t>Base for Quarterly Compound Interest</t>
  </si>
  <si>
    <t>Base for Monthly Interest</t>
  </si>
  <si>
    <t>Calculated Interest</t>
  </si>
  <si>
    <t>Amortization</t>
  </si>
  <si>
    <t>Cumulative Refunds and Interest - End of Month</t>
  </si>
  <si>
    <t>Calculation of Interest</t>
  </si>
  <si>
    <t>Intermediate Year</t>
  </si>
  <si>
    <t>Over (Under) Recovery Plus Interest Amortized and Recovered Over 12 Months</t>
  </si>
  <si>
    <t>True-Up Adjustment with Interest</t>
  </si>
  <si>
    <t>Less Over (Under) Recovery</t>
  </si>
  <si>
    <t>Total Interest</t>
  </si>
  <si>
    <t>Worksheet O - Schedule 9 NITS True-up With Interest</t>
  </si>
  <si>
    <t>Applicable FERC Interest Rate (Note A):</t>
  </si>
  <si>
    <t>Schedule 11 Base Plan True Up</t>
  </si>
  <si>
    <t>Line 
No</t>
  </si>
  <si>
    <t>Production</t>
  </si>
  <si>
    <t>Production ARO</t>
  </si>
  <si>
    <t>Transmission ARO</t>
  </si>
  <si>
    <t>Distribution</t>
  </si>
  <si>
    <t>Distribution ARO</t>
  </si>
  <si>
    <t>General</t>
  </si>
  <si>
    <t>General ARO</t>
  </si>
  <si>
    <t>Intangible</t>
  </si>
  <si>
    <t>(a)</t>
  </si>
  <si>
    <t>(b)</t>
  </si>
  <si>
    <t>(c)</t>
  </si>
  <si>
    <t>(d)</t>
  </si>
  <si>
    <t>(e)</t>
  </si>
  <si>
    <t>(f)</t>
  </si>
  <si>
    <t>(g)</t>
  </si>
  <si>
    <t>Acct. 359.1
FF1, page 207 Col.(g) &amp; pg. 206 Col. (b), ln 57</t>
  </si>
  <si>
    <t xml:space="preserve">
FF1, page 207 Col.(g) &amp; pg. 206 Col. (b), ln 99</t>
  </si>
  <si>
    <t>Acct. 399.1
FF1, page 207 Col.(g) &amp; pg. 206 Col. (b), ln 98</t>
  </si>
  <si>
    <t>December Prior to Rate Year</t>
  </si>
  <si>
    <t xml:space="preserve">March </t>
  </si>
  <si>
    <t xml:space="preserve">August </t>
  </si>
  <si>
    <t>December  of Rate Year</t>
  </si>
  <si>
    <t>Company Records (Included in total in Column (b))</t>
  </si>
  <si>
    <t>Company Records (Included in total in Column (d))</t>
  </si>
  <si>
    <t>Gross Plant In Service - Production</t>
  </si>
  <si>
    <t>Gross Plant In Service - Distribution, General and Intangible, GSU, Excluded Plant</t>
  </si>
  <si>
    <t>Accumulated Depreciation- Distribution, General and Intangible, GSU, Excluded Plant</t>
  </si>
  <si>
    <t>Accumulated Deprecication - Production</t>
  </si>
  <si>
    <t>OATT Ancillary Services (GSU)</t>
  </si>
  <si>
    <t>Excluded Plant</t>
  </si>
  <si>
    <r>
      <t xml:space="preserve"> Worksheet A-2</t>
    </r>
    <r>
      <rPr>
        <sz val="12"/>
        <rFont val="Arial"/>
        <family val="2"/>
      </rPr>
      <t xml:space="preserve">  - Detailed Accumulated Depreciation Balances</t>
    </r>
  </si>
  <si>
    <r>
      <t xml:space="preserve"> Worksheet A-1</t>
    </r>
    <r>
      <rPr>
        <sz val="12"/>
        <rFont val="Arial"/>
        <family val="2"/>
      </rPr>
      <t xml:space="preserve">  - Detailed Plant Balances</t>
    </r>
  </si>
  <si>
    <t xml:space="preserve">Total </t>
  </si>
  <si>
    <t>Asset Description</t>
  </si>
  <si>
    <t>Definite Plan for Future Use</t>
  </si>
  <si>
    <t>Estimated in Service Year</t>
  </si>
  <si>
    <t>The cost of service will make a rate base adjustment to remove unfunded reserves associated with contingent liabilites recorded to Accounts 228.1-228.4 from rate base.</t>
  </si>
  <si>
    <t>V</t>
  </si>
  <si>
    <t xml:space="preserve">  Total </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</si>
  <si>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</si>
  <si>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t>Note 1:</t>
  </si>
  <si>
    <t xml:space="preserve">     Less : Regulatory Amortizations / (Deferrals)</t>
  </si>
  <si>
    <t xml:space="preserve">     Plus : Approved Regulatory Amortizations / (Deferrals)</t>
  </si>
  <si>
    <t>FERC Docket</t>
  </si>
  <si>
    <t xml:space="preserve">   Net Amortization / (Deferral)</t>
  </si>
  <si>
    <t xml:space="preserve">   Net Approved Amortization / (Deferral)</t>
  </si>
  <si>
    <t>Notes:</t>
  </si>
  <si>
    <t>Transmission Functional Plant Held For Future Use (Notes A and B)</t>
  </si>
  <si>
    <t xml:space="preserve">Include only the Transmission functional component of amounts reported page 214 of the FERC Form 1. </t>
  </si>
  <si>
    <t xml:space="preserve">Per the general instruction for Account No. 105 in 18 CFR Part 101. </t>
  </si>
  <si>
    <t>FERC Approval Docket</t>
  </si>
  <si>
    <t>Recovery Start Date</t>
  </si>
  <si>
    <t>Recovery Period (Months)</t>
  </si>
  <si>
    <t>Transmission Balance</t>
  </si>
  <si>
    <t xml:space="preserve">   Total</t>
  </si>
  <si>
    <t>Form 1 Reference</t>
  </si>
  <si>
    <t>Amort. / Deferral Account</t>
  </si>
  <si>
    <t>Functional Allocator Value</t>
  </si>
  <si>
    <t>Regulatory Asset Amortizations / (Deferrals) in O&amp;M (Note 1)</t>
  </si>
  <si>
    <t>FERC Approved Regulatory Amortizations / (Deferrals) in O&amp;M (Note 2)</t>
  </si>
  <si>
    <t>Include all amortizations and deferrals of regulatory assets included in accounts in A&amp;G expense on FERC Form 1 p. 321, ln 197, except amounts in Account 928, 930.1, and 930.2, which are accounted for on Worksheet J.</t>
  </si>
  <si>
    <t>Reg Asset Amortizations / (Deferrals) in A&amp;G (Note 3)</t>
  </si>
  <si>
    <t>FERC Approved Reg Amortizations / (Deferrals) in A&amp;G (Note 4)</t>
  </si>
  <si>
    <t>Include all regulatory asset amortizations and deferrals included in accounts in Transmission O&amp;M on FERC Form 1 p. 321, ln 122. Exclude all Distribution and Production-related items.</t>
  </si>
  <si>
    <t xml:space="preserve">               Regulatory Asset Amortizations / (Deferrals)</t>
  </si>
  <si>
    <t xml:space="preserve">           Approved A&amp;G Reg. Asset  Amort. / (Deferrals)</t>
  </si>
  <si>
    <t>Regulatory Assets Included in Rate Base (Note 5)</t>
  </si>
  <si>
    <t>O&amp;M and A&amp;G shall be adjusted to remove all regulatory asset deferrals and amortizations that have not been approved by FERC for inclusion in cost of service, and then to add back in FERC approved amortizations and deferrals. Negative amounts in O&amp;M or A&amp;G represent deferrals. See Worksheet S.</t>
  </si>
  <si>
    <t>Functional Allocator (Note 6)</t>
  </si>
  <si>
    <t>Balances direct assigned to Transmission except for payroll-related balances, which will be allocated using a wages and salaries allocator.</t>
  </si>
  <si>
    <t>See referenced FERC docket for details of Regulatory Assets approved for inclusion in rate base. Include only the Transmission functional balance for assets which have both Transmission and Distribution components.</t>
  </si>
  <si>
    <t>Expense Account</t>
  </si>
  <si>
    <t xml:space="preserve">Formula </t>
  </si>
  <si>
    <t>Note - The cost of service will make a rate base adjustment to remove unfunded reserves associated with contingent liabilites recorded to Accounts 228.1-228.4 from rate base. Include only contingent liabilities which were expensed through accounts included in formula rate cost of service.</t>
  </si>
  <si>
    <t>SUMMARY OF TOTAL DEPRECIATION RATES</t>
  </si>
  <si>
    <t>TRANSMISSION PLANT</t>
  </si>
  <si>
    <t>Acct. No.</t>
  </si>
  <si>
    <t>Account Title</t>
  </si>
  <si>
    <t>Total Depr Rates</t>
  </si>
  <si>
    <t>Land Rights</t>
  </si>
  <si>
    <t>Structures &amp; Improvements</t>
  </si>
  <si>
    <t>Station Equipment</t>
  </si>
  <si>
    <t xml:space="preserve">Towers &amp; Fixtures  </t>
  </si>
  <si>
    <t>Poles &amp; Fixtures</t>
  </si>
  <si>
    <t>OH Conductor &amp; Devices</t>
  </si>
  <si>
    <t>Underground Conductor</t>
  </si>
  <si>
    <t xml:space="preserve">GENERAL PLANT      </t>
  </si>
  <si>
    <t>Office Furniture</t>
  </si>
  <si>
    <t xml:space="preserve">Office Equipment - Computers </t>
  </si>
  <si>
    <t xml:space="preserve">Transportation Equipment </t>
  </si>
  <si>
    <t>Stores Equipment</t>
  </si>
  <si>
    <t>Tools Shop &amp; Garage Equipment</t>
  </si>
  <si>
    <t>Laboratory Equipment</t>
  </si>
  <si>
    <t>Power Operated Equip</t>
  </si>
  <si>
    <t>Communication Equip - Amortized</t>
  </si>
  <si>
    <t>AMI - Communication Equipment</t>
  </si>
  <si>
    <t>Miscellaneous Equipment</t>
  </si>
  <si>
    <t>Alliance Rail</t>
  </si>
  <si>
    <t>Amounts to be prorated include only line items related to the difference between book and tax depreciation expense.  This includes the line item labeled 230A, and any other such items</t>
  </si>
  <si>
    <t>Transmission Function</t>
  </si>
  <si>
    <t>Rate Year Beginning Accumulated Amortization</t>
  </si>
  <si>
    <t>Rate year Ending Accumulated Amortization</t>
  </si>
  <si>
    <t xml:space="preserve">Account </t>
  </si>
  <si>
    <t>Unprotected ADIT  Balances</t>
  </si>
  <si>
    <t>Annual Transmission Function Amortization</t>
  </si>
  <si>
    <t>XXXXXXX</t>
  </si>
  <si>
    <t>NOTES</t>
  </si>
  <si>
    <t xml:space="preserve">Include only excess DFIT recorded in accounts which are included in the formula rate cost of service. These include one or more subaccounts within accounts 190.1, 282.1, and 283.1. </t>
  </si>
  <si>
    <t>Company records</t>
  </si>
  <si>
    <t>Protected ADIT  Balances</t>
  </si>
  <si>
    <t>Rate Year Ending Balance Per Books - Total Company</t>
  </si>
  <si>
    <t>WS C-1 960F XS Unprotected</t>
  </si>
  <si>
    <t>WS C-1 960F XS Protected</t>
  </si>
  <si>
    <t>Worksheet C-1 Rate Base Excluded Balance</t>
  </si>
  <si>
    <t>Rate Year Ending Included Balance - 100% Transmission Function net of amortization</t>
  </si>
  <si>
    <t>Settlement Amortization period</t>
  </si>
  <si>
    <t>Rate Year Beginning Included Balance - 100% Transmission Function net of amortization</t>
  </si>
  <si>
    <t>Rate Year Beginning Balance Per Books - Total Company</t>
  </si>
  <si>
    <t>Worksheet C-2 Rate Base Excluded Balance</t>
  </si>
  <si>
    <t>WS C-2 960F XS Unprotected</t>
  </si>
  <si>
    <t>WS C-4</t>
  </si>
  <si>
    <t>WS C-2 960F XS Protected</t>
  </si>
  <si>
    <t>WS C-2 Beginning Balance Per Books - Total Company</t>
  </si>
  <si>
    <t>WS C-1 Ending Balance Net of Accumulated Amortization Per Books - Total Company</t>
  </si>
  <si>
    <t>Beginning Accumulated Amortization</t>
  </si>
  <si>
    <t>Ending Accumulated Amortization</t>
  </si>
  <si>
    <t>Unprotected</t>
  </si>
  <si>
    <t>Protected</t>
  </si>
  <si>
    <t xml:space="preserve">    Total</t>
  </si>
  <si>
    <t>Annual Amortization of Excess ADIT</t>
  </si>
  <si>
    <t>Non-Allocable Taxes</t>
  </si>
  <si>
    <t>UNFUNDED RESERVES (ENTER NEGATIVE) (NOTE U)</t>
  </si>
  <si>
    <t>Balance  per Books- Transmission Function only (190 enter positive, 282/283 enter negative)</t>
  </si>
  <si>
    <t>Prepayments Account 165</t>
  </si>
  <si>
    <t>Monthly Balances</t>
  </si>
  <si>
    <t>(K)</t>
  </si>
  <si>
    <t>(N)</t>
  </si>
  <si>
    <t>Line Number</t>
  </si>
  <si>
    <t>(P)</t>
  </si>
  <si>
    <t>Total - December Balances tie to Form 1, p 111.57.c  and d</t>
  </si>
  <si>
    <t>Line item balances obtained from Company Records</t>
  </si>
  <si>
    <t>(Q)</t>
  </si>
  <si>
    <t>Source - December Balances</t>
  </si>
  <si>
    <t>Proprietary Capital</t>
  </si>
  <si>
    <t>Less: Preferred Stock</t>
  </si>
  <si>
    <t>Less Undistributed Sub Earnings (Acct 216.1)</t>
  </si>
  <si>
    <t>Less AOCI (Acct 219.1)</t>
  </si>
  <si>
    <t>(f)=(b)-( c)-(d)-( e)</t>
  </si>
  <si>
    <t>(Note A)</t>
  </si>
  <si>
    <t xml:space="preserve"> (FF1 112.16)</t>
  </si>
  <si>
    <t xml:space="preserve"> (FF1 250-251)</t>
  </si>
  <si>
    <t xml:space="preserve"> (FF1 112.12)</t>
  </si>
  <si>
    <t>(FF1 112.15)</t>
  </si>
  <si>
    <t>Average Balance of Long Term Debt</t>
  </si>
  <si>
    <t>Acct 221 
Bonds</t>
  </si>
  <si>
    <t>Less: Acct 222 Reacquired Bonds</t>
  </si>
  <si>
    <t>Acct 223 
LT Advances from Assoc. Companies</t>
  </si>
  <si>
    <t>Acct 224
Senior Unsecured Notes</t>
  </si>
  <si>
    <t>Less: Fair Value Hedges</t>
  </si>
  <si>
    <t>Gross Proceeds Outstanding Long-Term Debt</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</si>
  <si>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</si>
  <si>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</si>
  <si>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</si>
  <si>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</si>
  <si>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</si>
  <si>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</si>
  <si>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</si>
  <si>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CALCULATION OF RECOVERABLE HEDGE GAINS/LOSSES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</si>
  <si>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</si>
  <si>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Amortization Period</t>
  </si>
  <si>
    <t>HEDGE AMOUNTS BY ISSUANCE (FROM p. 256-257 (i) of the FERC Form 1)</t>
  </si>
  <si>
    <t>Net Includable Hedge Amount</t>
  </si>
  <si>
    <t>Remaining Unamortized Balance</t>
  </si>
  <si>
    <t>Dividends on Preferred Stock</t>
  </si>
  <si>
    <t xml:space="preserve"> Worksheet M - Cost of Capital</t>
  </si>
  <si>
    <t xml:space="preserve">Include only regulatory asset amortizations and deferrals included in accounts in Transmission O&amp;M approved by FERC for inclusion in cost of service. </t>
  </si>
  <si>
    <t xml:space="preserve">Include only regulatory asset amortizations and deferrals included in accounts in A&amp;G expense approved by FERC for inclusion in cost of service. </t>
  </si>
  <si>
    <t>336.7.b</t>
  </si>
  <si>
    <t>336.10.b</t>
  </si>
  <si>
    <t>included as revenue credits.   See Worksheet H for details.</t>
  </si>
  <si>
    <t>The gross plant, accumulated depreciation, and deferred tax balances included in rate base and depreciation expense are reduced by the removal of amounts related to Asset Retirement Obligations  (AROs). This is to comply with the requirements of FERC Rulemaking RM02-7-000.</t>
  </si>
  <si>
    <t>Expense reported for these A&amp;G accounts will be included in the cost of service only to the extent they are directly assignable or allocable to transmission service. Worksheet J allocates</t>
  </si>
  <si>
    <t>expenses incurred by the transmission function for Associated Business Development revenues given as a credit to the TCOS on Worksheet H.</t>
  </si>
  <si>
    <t>ER18-194/195 Settlement</t>
  </si>
  <si>
    <r>
      <t xml:space="preserve"> Worksheet C-4</t>
    </r>
    <r>
      <rPr>
        <sz val="12"/>
        <color theme="1"/>
        <rFont val="Arial"/>
        <family val="2"/>
      </rPr>
      <t xml:space="preserve"> - Excess Deferred Federal Income Taxes</t>
    </r>
  </si>
  <si>
    <t>Rate Year ending balance (Note 1)</t>
  </si>
  <si>
    <t>Rate Year beginning balance (Note 1)</t>
  </si>
  <si>
    <r>
      <t>Worksheet D</t>
    </r>
    <r>
      <rPr>
        <sz val="12"/>
        <rFont val="Arial"/>
        <family val="2"/>
      </rPr>
      <t xml:space="preserve"> - Materials and Supplies and Prepayments</t>
    </r>
  </si>
  <si>
    <t>Stores Expense (Undistributed) - Account 163</t>
  </si>
  <si>
    <t>WS D, p. 2 of 2, Col. (D), line 1</t>
  </si>
  <si>
    <t>WS D, p. 2 of 2, Col. (D), line 3</t>
  </si>
  <si>
    <t>WS D, p. 2 of 2, Col. (D), line 2</t>
  </si>
  <si>
    <t>Excess / (Deficit) Deferred Income Taxes will be amortized over the average remaining life of the assets to which it relates, unless the Commission requires a different amortization period. Recovery of permanent and flow through differences is limited to only the transmission functional portion of the tax difference related to capitalized AFUDC Equity.</t>
  </si>
  <si>
    <r>
      <t xml:space="preserve"> Worksheet S</t>
    </r>
    <r>
      <rPr>
        <sz val="12"/>
        <rFont val="Arial"/>
        <family val="2"/>
      </rPr>
      <t xml:space="preserve"> - Regulatory Assets</t>
    </r>
  </si>
  <si>
    <r>
      <t xml:space="preserve"> Worksheet T</t>
    </r>
    <r>
      <rPr>
        <sz val="12"/>
        <rFont val="Arial"/>
        <family val="2"/>
      </rPr>
      <t xml:space="preserve"> - Depreciation Rates</t>
    </r>
  </si>
  <si>
    <r>
      <rPr>
        <b/>
        <sz val="12"/>
        <rFont val="Arial Narrow"/>
        <family val="2"/>
      </rPr>
      <t>Note 1:</t>
    </r>
    <r>
      <rPr>
        <sz val="12"/>
        <rFont val="Arial Narrow"/>
        <family val="2"/>
      </rPr>
      <t xml:space="preserve">  The monthly interest rates to be applied to the over recovery or under recovery amounts during the true-up year and the intermediate year will be determined using the monthly FERC interest rates (as determined pursuant to 18 C.F.R. Section 35.19a) posted at </t>
    </r>
    <r>
      <rPr>
        <u/>
        <sz val="12"/>
        <rFont val="Arial Narrow"/>
        <family val="2"/>
      </rPr>
      <t>https://www.ferc.gov/enforcement/acct-matts/interest-rates.asp</t>
    </r>
    <r>
      <rPr>
        <sz val="12"/>
        <rFont val="Arial Narrow"/>
        <family val="2"/>
      </rPr>
      <t>.</t>
    </r>
  </si>
  <si>
    <r>
      <rPr>
        <b/>
        <sz val="12"/>
        <rFont val="Arial Narrow"/>
        <family val="2"/>
      </rPr>
      <t>Note 2:</t>
    </r>
    <r>
      <rPr>
        <sz val="12"/>
        <rFont val="Arial Narrow"/>
        <family val="2"/>
      </rPr>
      <t xml:space="preserve"> An over or under collection for the Schedule 1 NITS charge will be recovered prorata over the true-up year, held through June of the intermediate year and charged/refunded in a lump sum during July of the intermediate year. Schedule 1 Point to Point revenues are not subject to true up.</t>
    </r>
  </si>
  <si>
    <r>
      <rPr>
        <b/>
        <sz val="12"/>
        <rFont val="Arial Narrow"/>
        <family val="2"/>
      </rPr>
      <t>Note 2:</t>
    </r>
    <r>
      <rPr>
        <sz val="12"/>
        <rFont val="Arial Narrow"/>
        <family val="2"/>
      </rPr>
      <t xml:space="preserve"> An over or under collection for the Schedule 9 charge will be recovered prorata over the true-up year, held through June of the intermediate year and charged/refunded in a lump sum during July of the intermediate year.</t>
    </r>
  </si>
  <si>
    <t>Worksheet Q - True-up Interest Rates</t>
  </si>
  <si>
    <t>Worksheet P - Schedule 1 NITS True-up With Interest</t>
  </si>
  <si>
    <r>
      <rPr>
        <b/>
        <sz val="12"/>
        <rFont val="Arial Narrow"/>
        <family val="2"/>
      </rPr>
      <t>Note 1:</t>
    </r>
    <r>
      <rPr>
        <sz val="12"/>
        <rFont val="Arial Narrow"/>
        <family val="2"/>
      </rPr>
      <t xml:space="preserve">  The monthly interest rates to be applied to the over recovery or under recovery amounts during the true-up year and the intermediate year will be determined using the monthly FERC interest rates (as determined pursuant to 18 C.F.R. Section 35.19a) posted at </t>
    </r>
    <r>
      <rPr>
        <u/>
        <sz val="12"/>
        <rFont val="Arial Narrow"/>
        <family val="2"/>
      </rPr>
      <t>https://www.ferc.gov/enforcement/acct-matts/interest-rates.asp</t>
    </r>
    <r>
      <rPr>
        <sz val="12"/>
        <rFont val="Arial Narrow"/>
        <family val="2"/>
      </rPr>
      <t>.  The monthly interest rate to be applied to the over recovery or under recovery amounts each month during the rate year will equal a simple average of the 12 monthly interest rates for the intermediate year.</t>
    </r>
  </si>
  <si>
    <r>
      <rPr>
        <b/>
        <sz val="12"/>
        <rFont val="Arial Narrow"/>
        <family val="2"/>
      </rPr>
      <t>Note 2:</t>
    </r>
    <r>
      <rPr>
        <sz val="12"/>
        <rFont val="Arial Narrow"/>
        <family val="2"/>
      </rPr>
      <t xml:space="preserve"> An over or under collection for the Schedule 11 charge will be recovered prorata over the true-up year, held for the intermediate year and returned prorata over the rate year.</t>
    </r>
  </si>
  <si>
    <r>
      <t xml:space="preserve"> Worksheet R</t>
    </r>
    <r>
      <rPr>
        <sz val="12"/>
        <rFont val="Arial"/>
        <family val="2"/>
      </rPr>
      <t xml:space="preserve">  - Unfunded Reserves</t>
    </r>
  </si>
  <si>
    <t>Monthly Interest Rate (Worksheet Q)</t>
  </si>
  <si>
    <t>This Attachment is used to input and compute the interest rates to be applied to each year's revenue requirement true-ups.</t>
  </si>
  <si>
    <t>Note A - Lines 1-20 are the FERC interest rates under section 35.19a  of the regulations for the period shown, as posted at https://www.ferc.gov/enforcement/acct-matts/interest-rates.asp.</t>
  </si>
  <si>
    <r>
      <t xml:space="preserve">TRUE-UP Adjustment </t>
    </r>
    <r>
      <rPr>
        <sz val="10"/>
        <rFont val="Arial"/>
        <family val="2"/>
      </rPr>
      <t>(WS-G)</t>
    </r>
  </si>
  <si>
    <t>Interest</t>
  </si>
  <si>
    <t>Actual Rate Year True Up Revenue Requirement</t>
  </si>
  <si>
    <t>Projected Rate Year Revenue Requirement</t>
  </si>
  <si>
    <t>Projected</t>
  </si>
  <si>
    <t>Removes plant excluded from the OATT because it does not meet the SPP's definition of Transmission Facilities or is otherwise ineligible to be recovered under the OATT.</t>
  </si>
  <si>
    <t xml:space="preserve">INTANGIBLE PLANT      </t>
  </si>
  <si>
    <t>Note 1 - These depreciation and amortization rates will not be changed absent a Section 205 or 206 filing at the Commission.</t>
  </si>
  <si>
    <t>Intangible Plant</t>
  </si>
  <si>
    <t>W</t>
  </si>
  <si>
    <t>If the company submits a Section 205 filing proposing to make adjustments to this formula rate cost of service template to remove assets and costs related to transmission facilities constructed and operated specifically for the purpose of delivering the output of generation facilities, including generation tie-lines, which do not qualify under the SPP OATT for inclusion in transmission cost of service, challenges to such filing(s) shall be limited to the justness and reasonableness of such proposal.</t>
  </si>
  <si>
    <t>TRANSMISSION PLANT INCLUDED IN SPP TARIFF (Note W)</t>
  </si>
  <si>
    <t>Schedule 11 Revenue Credits and SPP Billing Adjustments</t>
  </si>
  <si>
    <t>Total True Up net of revenue credits, including interest</t>
  </si>
  <si>
    <t>Cash Revenue Collections for True-up Year, Net of Schedule 11 Revenue Credits</t>
  </si>
  <si>
    <t>Cash Revenue Collections for True-up Year, Net of Schedule 9 Revenue Credits</t>
  </si>
  <si>
    <t>Cash Revenue Collections for True-up Year, Net of Schedule 1 Revenue Credits</t>
  </si>
  <si>
    <t xml:space="preserve">AEP West SPP Member Transmission Companies </t>
  </si>
  <si>
    <t>AEPTCo Annual</t>
  </si>
  <si>
    <t>OKT  Annual</t>
  </si>
  <si>
    <t>SWT  Annual</t>
  </si>
  <si>
    <t>OKT Annual</t>
  </si>
  <si>
    <t>SWT Annual</t>
  </si>
  <si>
    <t>AEP OKLAHOMA TRANSMISSION COMPANY, INC.</t>
  </si>
  <si>
    <t>AEP SOUTHWESTERN TRANSMISSION COMPANY</t>
  </si>
  <si>
    <t>STAND ALONE (Note T)</t>
  </si>
  <si>
    <t>WEIGHTED AVERAGE COST OF CAPITAL (WACC)</t>
  </si>
  <si>
    <t>PUBLIC SERVICE COMPANY OF OKLAHOMA (Note T)</t>
  </si>
  <si>
    <t>(PSO Worksheet M, ln. 14, col. (b))</t>
  </si>
  <si>
    <t>(PSO Worksheet M, ln. 14, col. (c))</t>
  </si>
  <si>
    <t>(PSO Worksheet M, ln. 14, col. (d))</t>
  </si>
  <si>
    <t>(PSO Worksheet M, ln. 14, col. (e))</t>
  </si>
  <si>
    <t>Long Term Interest (PSO Formula Worksheet M, ln. 37, col. (d))</t>
  </si>
  <si>
    <t>Preferred Stock Dividends (PSO Formula Worksheet M, ln. 57, col. (d))</t>
  </si>
  <si>
    <t>SOUTHWESTERN ELECTRIC POWER COMPANY (Note T)</t>
  </si>
  <si>
    <t>(SWEPCO Worksheet M, ln. 14, col. (b))</t>
  </si>
  <si>
    <t>(SWEPCO Worksheet M, ln. 14, col. (c))</t>
  </si>
  <si>
    <t>(SWEPCO Worksheet M, ln. 14, col. (d))</t>
  </si>
  <si>
    <t>(SWEPCO Worksheet M, ln. 14, col. (e))</t>
  </si>
  <si>
    <t>Long Term Interest (SWEPCO Formula Worksheet M, ln. 37, col. (d))</t>
  </si>
  <si>
    <t>Preferred Stock Dividends (SWEPCO Formula Worksheet M, ln. 57, col. (d))</t>
  </si>
  <si>
    <t>OKT Total</t>
  </si>
  <si>
    <t>SWT Total</t>
  </si>
  <si>
    <t>ACRS BENEFIT NORMALIZED</t>
  </si>
  <si>
    <t>R &amp; D DEDUCTION - SEC 174</t>
  </si>
  <si>
    <t>GAIN/LOSS ON ACRS/MACRS PROPERTY</t>
  </si>
  <si>
    <t>ABFUDC</t>
  </si>
  <si>
    <t>INT EXP CAPITALIZED FOR TAX</t>
  </si>
  <si>
    <t>CAPITALIZED SOFTWARE COST-BOOK</t>
  </si>
  <si>
    <t>REMOVAL CST</t>
  </si>
  <si>
    <t>NOL-STATE C/F-DEF STATE TAX ASSET-L/T</t>
  </si>
  <si>
    <t>664J</t>
  </si>
  <si>
    <t>REG ASSET-TRANSCO PRE-FORMATION COSTS</t>
  </si>
  <si>
    <t>011C-DFIT</t>
  </si>
  <si>
    <t>TAX CREDIT C/F - DEF TAX ASSET</t>
  </si>
  <si>
    <t>011C-MJE</t>
  </si>
  <si>
    <t xml:space="preserve">TAX CREDIT C/F - DEF TAX ASSET- MJE </t>
  </si>
  <si>
    <t>612Y</t>
  </si>
  <si>
    <t>ACCRD COMPANYWIDE INCENTV PLAN</t>
  </si>
  <si>
    <t>960E</t>
  </si>
  <si>
    <t>AMT CREDIT - DEFERRED</t>
  </si>
  <si>
    <t>960Z</t>
  </si>
  <si>
    <t>NOL - DEFERRED TAX ASSET RECLASS</t>
  </si>
  <si>
    <t>960F</t>
  </si>
  <si>
    <t>911Q</t>
  </si>
  <si>
    <t>014V-DSIT</t>
  </si>
  <si>
    <t>NOL-STATE C/F-VALUATION ALLOWANCE</t>
  </si>
  <si>
    <t>520A</t>
  </si>
  <si>
    <t>PROVS POSS REV REFDS-A/L</t>
  </si>
  <si>
    <t xml:space="preserve">Prepaid Insurance </t>
  </si>
  <si>
    <t>1650021</t>
  </si>
  <si>
    <t>1650023</t>
  </si>
  <si>
    <t>Prepaid Lease</t>
  </si>
  <si>
    <t>Avg Long Term Debt (SWEPCO Worksheet M, ln. 28, col. (g))</t>
  </si>
  <si>
    <t>Avg Preferred Stock (SWEPCO Worksheet M, ln. 14, col.(c))</t>
  </si>
  <si>
    <t>AEP Oklahoma Transmission Company uses its own capital structure.</t>
  </si>
  <si>
    <t>Avg Long Term Debt (PSO Worksheet M, ln. 28, col. (g))</t>
  </si>
  <si>
    <t>Avg Preferred Stock (PSO Worksheet M, ln. 14, col.(c))</t>
  </si>
  <si>
    <t>State Income Tax Rate - Arkansas</t>
  </si>
  <si>
    <t>State Income Tax Rate - Louisiana</t>
  </si>
  <si>
    <t>Regulatory Commission Exp</t>
  </si>
  <si>
    <t>Regulatory Commission Exp-Adm</t>
  </si>
  <si>
    <t>Regulatory Commission Exp-Case</t>
  </si>
  <si>
    <t>Reg Com Exp-FERC Trans Cases</t>
  </si>
  <si>
    <t>9280000</t>
  </si>
  <si>
    <t>9280001</t>
  </si>
  <si>
    <t>9280002</t>
  </si>
  <si>
    <t>9280005</t>
  </si>
  <si>
    <t>9301000</t>
  </si>
  <si>
    <t>General Advertising Expenses</t>
  </si>
  <si>
    <t>9302000</t>
  </si>
  <si>
    <t>Misc General Expenses</t>
  </si>
  <si>
    <t>533J</t>
  </si>
  <si>
    <t>TX ACCEL AMORT - CAPITALIZED SOFTWARE</t>
  </si>
  <si>
    <t>960F-XS EXCESS ADFIT 282 PROTECTED</t>
  </si>
  <si>
    <t>960F-XS EXCESS ADFIT 282 UNPROTECTED</t>
  </si>
  <si>
    <t>960F-XS EXCESS ADFIT 283 UNPROTECTED</t>
  </si>
  <si>
    <t>BK/TX UNIT OF PROPERTY ADJ-SEC 481 ADJ</t>
  </si>
  <si>
    <t>911Q-DSIT DSIT ENTRY - NORMALIZED</t>
  </si>
  <si>
    <t>532D</t>
  </si>
  <si>
    <t>615B</t>
  </si>
  <si>
    <t>520X</t>
  </si>
  <si>
    <t>520Y</t>
  </si>
  <si>
    <t>520A PROVS POSS REV REFDS-A/L</t>
  </si>
  <si>
    <t>520X PROV FOR RATE REFUND-TAX REFORM</t>
  </si>
  <si>
    <t>520Y PROV FOR RATE REFUND-EXCESS PROTECTED</t>
  </si>
  <si>
    <t>390A</t>
  </si>
  <si>
    <t>532C</t>
  </si>
  <si>
    <t>OK Ad Valorem - 2018</t>
  </si>
  <si>
    <t>Sales/Use</t>
  </si>
  <si>
    <t>OK Franchise Tax</t>
  </si>
  <si>
    <t>Franchise Tax</t>
  </si>
  <si>
    <t>Misc General Expense</t>
  </si>
  <si>
    <t>ACCRUED INTEREST-LONG-TERM - FIN 48</t>
  </si>
  <si>
    <t>CIAC - BOOK RECEIPTS</t>
  </si>
  <si>
    <t>BOOK/TAX UNIT OF PROPERTY ADJ</t>
  </si>
  <si>
    <t>OKT.001</t>
  </si>
  <si>
    <t>OKT</t>
  </si>
  <si>
    <t>OKT.002</t>
  </si>
  <si>
    <t>OKT.003</t>
  </si>
  <si>
    <t>OKT.004</t>
  </si>
  <si>
    <t>OKT.005</t>
  </si>
  <si>
    <t>OKT.006</t>
  </si>
  <si>
    <t>OKT.007</t>
  </si>
  <si>
    <t>OKT.008</t>
  </si>
  <si>
    <t>OKT.009</t>
  </si>
  <si>
    <t>OKT.010</t>
  </si>
  <si>
    <t>OKT.011</t>
  </si>
  <si>
    <t>OKT.012</t>
  </si>
  <si>
    <t>OKT.013</t>
  </si>
  <si>
    <t>OKT.014</t>
  </si>
  <si>
    <t>OKT.015</t>
  </si>
  <si>
    <t>OKT.016</t>
  </si>
  <si>
    <t>OKT.017</t>
  </si>
  <si>
    <t>OKT.018</t>
  </si>
  <si>
    <t>Snyder 138 kV Terminal Addition</t>
  </si>
  <si>
    <t>Coffeyville T to Dearing 138 kV Rebuild - 1.1 miles</t>
  </si>
  <si>
    <t>Tulsa Power Station Reactor</t>
  </si>
  <si>
    <t xml:space="preserve">Bartlesville SE to Coffeyville T Rebuild </t>
  </si>
  <si>
    <t>Install 345kV terminal at Valliant***</t>
  </si>
  <si>
    <t xml:space="preserve">Canadian River - McAlester City 138 kV Line Conversion </t>
  </si>
  <si>
    <t xml:space="preserve">Cornville Station Conversion </t>
  </si>
  <si>
    <t>Coweta 69 kV Capacitor</t>
  </si>
  <si>
    <t>Prattville-Bluebell 138 kV</t>
  </si>
  <si>
    <t>Wapanucka Customer Connection</t>
  </si>
  <si>
    <t>Grady Customer Connection</t>
  </si>
  <si>
    <t>Darlington-Red Rock 138 kV line</t>
  </si>
  <si>
    <t>Ellis 138 kV</t>
  </si>
  <si>
    <t>Valliant-NW Texarkana 345 kV</t>
  </si>
  <si>
    <t>Darlington Roman Nose 138 kv</t>
  </si>
  <si>
    <t>Carnegie South-Southwestern 123 kv line rebuild</t>
  </si>
  <si>
    <t>Chisholm - Gracemont 345 kv line and station</t>
  </si>
  <si>
    <t>Duncan-Comanche Tap 69 KV Rebuild</t>
  </si>
  <si>
    <t>OKT.019</t>
  </si>
  <si>
    <t>Fort Towson-Valliant 69 KV Line Rebuild</t>
  </si>
  <si>
    <t xml:space="preserve">960F-XS EXCESS ADFIT 283 UNPROTECTED </t>
  </si>
  <si>
    <t>Common Stock cost rate (ROE) = 10.5%, the rate accepted by FERC pursuant to the settlement filed in Docket Nos. EL17-76 and EL18-199.  It includes an additional 50 basis points</t>
  </si>
  <si>
    <t xml:space="preserve"> for remaining a member of the SPP RTO. The capital structure of AEP Southwestern Transmission Co. will be based on the capital structure of SWEPCO until it establishes a stand alone capital structure.</t>
  </si>
  <si>
    <t>13 Month Average balance</t>
  </si>
  <si>
    <t xml:space="preserve">Average of the 13 Monthly Balances </t>
  </si>
  <si>
    <t>Average of the 13 Monthly Balances</t>
  </si>
  <si>
    <t>13 Month Average</t>
  </si>
  <si>
    <t>OK Ad Valorem - 2019</t>
  </si>
  <si>
    <t>State Gross Receipts</t>
  </si>
  <si>
    <t>Based on West Zone-SPP Monthly Transmission System Firm Peak Demands for the Twelve Months Ended December 31, 2019</t>
  </si>
  <si>
    <t xml:space="preserve">NOTEs:  </t>
  </si>
  <si>
    <t>[a]</t>
  </si>
  <si>
    <t>PSO Native load includes PSO load on GRDA</t>
  </si>
  <si>
    <t>[b]</t>
  </si>
  <si>
    <t>GRDA and PSO enjoy a grandfathered load swap arrangement.  Historically, both PSO load on GRDA and GRDA load on PSO were included in the PSO OATT load responsibility (Schedule 9).  Beginning in Dec 2015, loads are telemetered - AEP and GRDA mutually agreed to report only their own load telemetered from the other zone for purposes of both Sch 9 &amp; 11.  Therefore, for Dec 2015 and forward, PSO will only report PSO load on GRDA for both Sch 9 &amp; 11 reporting purposes as agreed to with GRDA.  Also, for Schedule 11 purposes, in agreement w/SPP &amp; GRDA, PSO will report the PSO load on GRDA in Schedule 11 while GRDA will report its load on PSO in its Schedule 11 values for the entire year.</t>
  </si>
  <si>
    <t>{c}   OG&amp;E Atoka and Coalgate merged under 1 TSR (OG&amp;E LSE) beginning with September 2018 billing. SPP required the merged loads to be reported for Jan - Dec 2018</t>
  </si>
  <si>
    <t>014C-OK</t>
  </si>
  <si>
    <t>NOL-STATE C/F-DEF TAX ASSET-L/T - OK</t>
  </si>
  <si>
    <t>230B</t>
  </si>
  <si>
    <t>280J</t>
  </si>
  <si>
    <t>481 a BONUS DEPRECIATION</t>
  </si>
  <si>
    <t>TAX DEPRECIATION LOOKBACK</t>
  </si>
  <si>
    <t>NOL-STATE C/F-DEF TAX ASSET-L/T - AR</t>
  </si>
  <si>
    <t>014C-AR</t>
  </si>
  <si>
    <t>014C-LA</t>
  </si>
  <si>
    <t>NOL-STATE C/F-DEF TAX ASSET-L/T - LA</t>
  </si>
  <si>
    <t xml:space="preserve">Actual / Projected 2019 Rate Year Cost of Service Formula Rate </t>
  </si>
  <si>
    <t>10A</t>
  </si>
  <si>
    <t>ADJUSTMENTS DISCOVERED DURING PRIOR ANNUAL UPDATE</t>
  </si>
  <si>
    <t xml:space="preserve">PSO </t>
  </si>
  <si>
    <t xml:space="preserve">SWEPCO </t>
  </si>
  <si>
    <t xml:space="preserve">AECC </t>
  </si>
  <si>
    <t>AECC-MISO</t>
  </si>
  <si>
    <t>WFEC</t>
  </si>
  <si>
    <t xml:space="preserve">OMPA </t>
  </si>
  <si>
    <t>OG&amp;E ATOKA COALGATE</t>
  </si>
  <si>
    <t>OG&amp;E LINN</t>
  </si>
  <si>
    <t>OG&amp;E - TALL BEAR</t>
  </si>
  <si>
    <t xml:space="preserve">ETEC </t>
  </si>
  <si>
    <t>GREENBELT</t>
  </si>
  <si>
    <t>LIGHTHOUSE</t>
  </si>
  <si>
    <t>BENTONVILLE, AR</t>
  </si>
  <si>
    <t>PRESCOTT, AR (ENTERGY)</t>
  </si>
  <si>
    <t>MINDEN, LA (ENTERGY)</t>
  </si>
  <si>
    <t>HOPE, AR</t>
  </si>
  <si>
    <t>COFFEYVILLE, KS</t>
  </si>
  <si>
    <t>SWEPCO - VALLEY</t>
  </si>
  <si>
    <t>AECI</t>
  </si>
  <si>
    <t>PSO Native Load (a)</t>
  </si>
  <si>
    <t>100% PSO E&amp;W included in PSO native load</t>
  </si>
  <si>
    <t>Allen Holdenville</t>
  </si>
  <si>
    <t xml:space="preserve">SWEPCO Native Load </t>
  </si>
  <si>
    <t>Eastman Load added October 2018</t>
  </si>
  <si>
    <t>VALLEY</t>
  </si>
  <si>
    <t>Rayburn</t>
  </si>
  <si>
    <t>PSO OATT Sched 9 load, Ln 1</t>
  </si>
  <si>
    <t>less GRDA load on PSO Jan-Nov(b) 2015 no longer used</t>
  </si>
  <si>
    <t xml:space="preserve">     WFEC load already subtracted  from PSO schedule 9 load line 1</t>
  </si>
  <si>
    <t>Subtotal PSO Schedule 11 load</t>
  </si>
  <si>
    <t>SWEPCO Sched 11 load, Ln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</si>
</sst>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4">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0.0000%"/>
    <numFmt numFmtId="176" formatCode="_(* #,##0.0_);_(* \(#,##0.0\);_(* &quot;-&quot;??_);_(@_)"/>
    <numFmt numFmtId="177" formatCode="_(* #,##0.0000_);_(* \(#,##0.0000\);_(* &quot;-&quot;????_);_(@_)"/>
    <numFmt numFmtId="178" formatCode="_(* #,##0.0000_);_(* \(#,##0.0000\);_(* &quot;-&quot;_);_(@_)"/>
    <numFmt numFmtId="179" formatCode="_(* #,##0.00000_);_(* \(#,##0.00000\);_(* &quot;-&quot;_);_(@_)"/>
    <numFmt numFmtId="180" formatCode="_(* #,##0.0000000000_);_(* \(#,##0.0000000000\);_(* &quot;-&quot;_);_(@_)"/>
    <numFmt numFmtId="181" formatCode="_(* #,##0.00000_);_(* \(#,##0.00000\);_(* &quot;-&quot;??_);_(@_)"/>
    <numFmt numFmtId="182" formatCode="#,##0.0000000"/>
    <numFmt numFmtId="183" formatCode="_(* #,##0.0000000_);_(* \(#,##0.0000000\);_(* &quot;-&quot;_);_(@_)"/>
    <numFmt numFmtId="184" formatCode="#,##0\ ;\(#,##0\)"/>
    <numFmt numFmtId="185" formatCode="#,##0.0_);[Red]\(#,##0.0\)"/>
    <numFmt numFmtId="186" formatCode="_(* #,##0.0000_);_(* \(#,##0.0000\);_(* &quot;-&quot;??_);_(@_)"/>
    <numFmt numFmtId="187" formatCode="0.0%"/>
    <numFmt numFmtId="188" formatCode="_(* #,##0.000_);_(* \(#,##0.000\);_(* &quot;-&quot;_);_(@_)"/>
    <numFmt numFmtId="189" formatCode="#,##0.000000"/>
    <numFmt numFmtId="190" formatCode="mmmm\ d\,\ yyyy"/>
    <numFmt numFmtId="191" formatCode="0.0000000%"/>
    <numFmt numFmtId="192" formatCode="_(* #,##0.00_);_(* \(#,##0.00\);_(* &quot;-&quot;_);_(@_)"/>
    <numFmt numFmtId="193" formatCode="0.000"/>
    <numFmt numFmtId="194" formatCode="mm/dd/yy;@"/>
    <numFmt numFmtId="195" formatCode="&quot;$&quot;#,##0\ ;\(&quot;$&quot;#,##0\)"/>
    <numFmt numFmtId="196" formatCode="_(* #,##0.0,_);_(* \(#,##0.0,\);_(* &quot;-   &quot;_);_(@_)"/>
    <numFmt numFmtId="197" formatCode="_(* #,##0.00000000_);_(* \(#,##0.00000000\);_(* &quot;-&quot;??_);_(@_)"/>
    <numFmt numFmtId="198" formatCode="0.0"/>
    <numFmt numFmtId="199" formatCode="General_)"/>
    <numFmt numFmtId="200" formatCode="#,##0.000_);\(#,##0.000\)"/>
  </numFmts>
  <fonts count="21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9"/>
      <name val="Arial"/>
      <family val="2"/>
    </font>
    <font>
      <b/>
      <sz val="9"/>
      <name val="Arial"/>
      <family val="2"/>
    </font>
    <font>
      <i/>
      <sz val="12"/>
      <name val="Arial"/>
      <family val="2"/>
    </font>
    <font>
      <b/>
      <sz val="18"/>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sz val="10"/>
      <name val="Helv"/>
    </font>
    <font>
      <sz val="14"/>
      <name val="Helv"/>
    </font>
    <font>
      <b/>
      <u/>
      <sz val="14"/>
      <name val="Helv"/>
    </font>
    <font>
      <b/>
      <sz val="14"/>
      <name val="Helv"/>
    </font>
    <font>
      <sz val="12"/>
      <name val="Helv"/>
    </font>
    <font>
      <b/>
      <sz val="12"/>
      <name val="Arial MT"/>
    </font>
    <font>
      <b/>
      <u/>
      <sz val="14"/>
      <name val="Arial"/>
      <family val="2"/>
    </font>
    <font>
      <u/>
      <sz val="12"/>
      <name val="Times New Roman"/>
      <family val="1"/>
    </font>
    <font>
      <u val="singleAccounting"/>
      <sz val="10"/>
      <name val="Arial"/>
      <family val="2"/>
    </font>
    <font>
      <b/>
      <i/>
      <u/>
      <sz val="12"/>
      <name val="Arial"/>
      <family val="2"/>
    </font>
    <font>
      <b/>
      <sz val="10"/>
      <name val="Times New Roman"/>
      <family val="1"/>
    </font>
    <font>
      <b/>
      <sz val="20"/>
      <name val="Arial"/>
      <family val="2"/>
    </font>
    <font>
      <sz val="10"/>
      <name val="Arial MT"/>
    </font>
    <font>
      <b/>
      <sz val="20"/>
      <name val="Arial MT"/>
    </font>
    <font>
      <sz val="16"/>
      <name val="Arial MT"/>
    </font>
    <font>
      <b/>
      <sz val="16"/>
      <name val="Arial MT"/>
    </font>
    <font>
      <b/>
      <u/>
      <sz val="12"/>
      <name val="Arial MT"/>
    </font>
    <font>
      <sz val="8"/>
      <name val="Arial"/>
      <family val="2"/>
    </font>
    <font>
      <strike/>
      <sz val="12"/>
      <name val="Arial"/>
      <family val="2"/>
    </font>
    <font>
      <b/>
      <sz val="10"/>
      <name val="Arial Narrow"/>
      <family val="2"/>
    </font>
    <font>
      <strike/>
      <sz val="10"/>
      <name val="Arial"/>
      <family val="2"/>
    </font>
    <font>
      <sz val="12"/>
      <name val="Times New Roman"/>
      <family val="1"/>
    </font>
    <font>
      <b/>
      <sz val="12"/>
      <name val="Arial Narrow"/>
      <family val="2"/>
    </font>
    <font>
      <b/>
      <sz val="12"/>
      <name val="Helv"/>
    </font>
    <font>
      <sz val="10"/>
      <color indexed="10"/>
      <name val="Arial"/>
      <family val="2"/>
    </font>
    <font>
      <sz val="10"/>
      <color indexed="12"/>
      <name val="Arial"/>
      <family val="2"/>
    </font>
    <font>
      <sz val="10"/>
      <color indexed="9"/>
      <name val="Arial"/>
      <family val="2"/>
    </font>
    <font>
      <sz val="14"/>
      <color indexed="12"/>
      <name val="Arial"/>
      <family val="2"/>
    </font>
    <font>
      <b/>
      <i/>
      <sz val="10"/>
      <name val="Arial"/>
      <family val="2"/>
    </font>
    <font>
      <b/>
      <strike/>
      <sz val="14"/>
      <name val="Arial"/>
      <family val="2"/>
    </font>
    <font>
      <strike/>
      <sz val="12"/>
      <color indexed="10"/>
      <name val="Arial"/>
      <family val="2"/>
    </font>
    <font>
      <b/>
      <strike/>
      <u/>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2"/>
      <color indexed="22"/>
      <name val="Arial"/>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8"/>
      <name val="Calibri"/>
      <family val="2"/>
    </font>
    <font>
      <b/>
      <sz val="13.5"/>
      <name val="Arial"/>
      <family val="2"/>
    </font>
    <font>
      <sz val="13.5"/>
      <name val="Arial MT"/>
    </font>
    <font>
      <sz val="13.5"/>
      <name val="Arial"/>
      <family val="2"/>
    </font>
    <font>
      <sz val="11"/>
      <color indexed="8"/>
      <name val="Calibri"/>
      <family val="2"/>
    </font>
    <font>
      <sz val="12"/>
      <color indexed="10"/>
      <name val="Arial"/>
      <family val="2"/>
    </font>
    <font>
      <sz val="10"/>
      <color indexed="10"/>
      <name val="Arial"/>
      <family val="2"/>
    </font>
    <font>
      <sz val="14"/>
      <color indexed="10"/>
      <name val="Arial"/>
      <family val="2"/>
    </font>
    <font>
      <sz val="10"/>
      <color indexed="12"/>
      <name val="Arial"/>
      <family val="2"/>
    </font>
    <font>
      <b/>
      <sz val="10"/>
      <color indexed="10"/>
      <name val="Arial"/>
      <family val="2"/>
    </font>
    <font>
      <b/>
      <strike/>
      <sz val="16"/>
      <color indexed="10"/>
      <name val="Arial"/>
      <family val="2"/>
    </font>
    <font>
      <sz val="14"/>
      <color indexed="10"/>
      <name val="Times New Roman"/>
      <family val="1"/>
    </font>
    <font>
      <b/>
      <strike/>
      <sz val="14"/>
      <color indexed="10"/>
      <name val="Arial"/>
      <family val="2"/>
    </font>
    <font>
      <sz val="10"/>
      <name val="Arial"/>
      <family val="2"/>
    </font>
    <font>
      <u/>
      <sz val="11"/>
      <name val="Arial"/>
      <family val="2"/>
    </font>
    <font>
      <b/>
      <sz val="12"/>
      <name val="Times New Roman"/>
      <family val="1"/>
    </font>
    <font>
      <u/>
      <sz val="12"/>
      <name val="Times New Roman"/>
      <family val="2"/>
    </font>
    <font>
      <sz val="10"/>
      <name val="Cambria"/>
      <family val="1"/>
    </font>
    <font>
      <b/>
      <sz val="10"/>
      <name val="Cambria"/>
      <family val="1"/>
    </font>
    <font>
      <b/>
      <strike/>
      <sz val="16"/>
      <name val="Arial"/>
      <family val="2"/>
    </font>
    <font>
      <b/>
      <sz val="16"/>
      <name val="MS Serif"/>
      <family val="1"/>
    </font>
    <font>
      <strike/>
      <sz val="13.5"/>
      <name val="Arial"/>
      <family val="2"/>
    </font>
    <font>
      <b/>
      <strike/>
      <sz val="16"/>
      <name val="Cambria"/>
      <family val="1"/>
    </font>
    <font>
      <sz val="10"/>
      <color indexed="10"/>
      <name val="Arial"/>
      <family val="2"/>
    </font>
    <font>
      <sz val="10"/>
      <name val="Arial"/>
      <family val="2"/>
    </font>
    <font>
      <sz val="10"/>
      <name val="Arial"/>
      <family val="2"/>
    </font>
    <font>
      <sz val="10"/>
      <name val="Arial"/>
      <family val="2"/>
    </font>
    <font>
      <b/>
      <sz val="12"/>
      <color indexed="12"/>
      <name val="Arial"/>
      <family val="2"/>
    </font>
    <font>
      <sz val="10"/>
      <color indexed="13"/>
      <name val="Arial"/>
      <family val="2"/>
    </font>
    <font>
      <b/>
      <i/>
      <sz val="10"/>
      <color indexed="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Calibri"/>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FF0000"/>
      <name val="Arial"/>
      <family val="2"/>
    </font>
    <font>
      <sz val="12"/>
      <color rgb="FFFF0000"/>
      <name val="Arial"/>
      <family val="2"/>
    </font>
    <font>
      <sz val="14"/>
      <color rgb="FFFF0000"/>
      <name val="Arial"/>
      <family val="2"/>
    </font>
    <font>
      <sz val="10"/>
      <color indexed="40"/>
      <name val="Arial"/>
      <family val="2"/>
    </font>
    <font>
      <strike/>
      <sz val="10"/>
      <color rgb="FFFF0000"/>
      <name val="Arial"/>
      <family val="2"/>
    </font>
    <font>
      <sz val="10"/>
      <color indexed="40"/>
      <name val="Times New Roman"/>
      <family val="1"/>
    </font>
    <font>
      <sz val="10"/>
      <color indexed="8"/>
      <name val="Helv"/>
    </font>
    <font>
      <b/>
      <i/>
      <u/>
      <sz val="10"/>
      <name val="Arial"/>
      <family val="2"/>
    </font>
    <font>
      <sz val="13"/>
      <name val="Times New Roman"/>
      <family val="1"/>
    </font>
    <font>
      <sz val="10"/>
      <name val="Courier"/>
      <family val="3"/>
    </font>
    <font>
      <sz val="10"/>
      <color indexed="8"/>
      <name val="Century Schoolbook"/>
      <family val="2"/>
    </font>
    <font>
      <sz val="10"/>
      <color indexed="9"/>
      <name val="Century Schoolbook"/>
      <family val="2"/>
    </font>
    <font>
      <sz val="10"/>
      <color indexed="20"/>
      <name val="Century Schoolbook"/>
      <family val="2"/>
    </font>
    <font>
      <b/>
      <sz val="10"/>
      <color indexed="52"/>
      <name val="Century Schoolbook"/>
      <family val="2"/>
    </font>
    <font>
      <b/>
      <sz val="10"/>
      <color indexed="9"/>
      <name val="Century Schoolbook"/>
      <family val="2"/>
    </font>
    <font>
      <i/>
      <sz val="10"/>
      <color indexed="23"/>
      <name val="Century Schoolbook"/>
      <family val="2"/>
    </font>
    <font>
      <sz val="10"/>
      <color indexed="17"/>
      <name val="Century Schoolbook"/>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entury Schoolbook"/>
      <family val="2"/>
    </font>
    <font>
      <u/>
      <sz val="7.5"/>
      <color indexed="12"/>
      <name val="Courier"/>
      <family val="3"/>
    </font>
    <font>
      <u/>
      <sz val="7.5"/>
      <color indexed="12"/>
      <name val="MS Sans Serif"/>
      <family val="2"/>
    </font>
    <font>
      <u/>
      <sz val="8"/>
      <color indexed="12"/>
      <name val="Arial"/>
      <family val="2"/>
    </font>
    <font>
      <sz val="10"/>
      <color indexed="62"/>
      <name val="Century Schoolbook"/>
      <family val="2"/>
    </font>
    <font>
      <sz val="10"/>
      <color indexed="52"/>
      <name val="Century Schoolbook"/>
      <family val="2"/>
    </font>
    <font>
      <sz val="10"/>
      <color indexed="60"/>
      <name val="Century Schoolbook"/>
      <family val="2"/>
    </font>
    <font>
      <b/>
      <sz val="10"/>
      <color indexed="63"/>
      <name val="Century Schoolbook"/>
      <family val="2"/>
    </font>
    <font>
      <b/>
      <sz val="18"/>
      <color indexed="62"/>
      <name val="Cambria"/>
      <family val="2"/>
    </font>
    <font>
      <b/>
      <sz val="11"/>
      <color indexed="8"/>
      <name val="Calibri"/>
      <family val="2"/>
    </font>
    <font>
      <sz val="10"/>
      <color indexed="10"/>
      <name val="Century Schoolbook"/>
      <family val="2"/>
    </font>
    <font>
      <sz val="10"/>
      <color theme="1"/>
      <name val="Arial"/>
      <family val="2"/>
    </font>
    <font>
      <sz val="12"/>
      <color theme="1"/>
      <name val="Arial"/>
      <family val="2"/>
    </font>
    <font>
      <b/>
      <sz val="12"/>
      <color theme="1"/>
      <name val="Arial"/>
      <family val="2"/>
    </font>
    <font>
      <b/>
      <sz val="10"/>
      <color theme="1"/>
      <name val="Arial"/>
      <family val="2"/>
    </font>
    <font>
      <b/>
      <sz val="11"/>
      <color theme="1"/>
      <name val="Arial"/>
      <family val="2"/>
    </font>
    <font>
      <b/>
      <u/>
      <sz val="11"/>
      <name val="Arial"/>
      <family val="2"/>
    </font>
    <font>
      <sz val="12"/>
      <name val="Arial Narrow"/>
      <family val="2"/>
    </font>
    <font>
      <b/>
      <u/>
      <sz val="12"/>
      <name val="Arial Narrow"/>
      <family val="2"/>
    </font>
    <font>
      <b/>
      <i/>
      <sz val="12"/>
      <name val="Arial Narrow"/>
      <family val="2"/>
    </font>
    <font>
      <u/>
      <sz val="12"/>
      <name val="Arial Narrow"/>
      <family val="2"/>
    </font>
    <font>
      <u/>
      <sz val="10"/>
      <name val="Times New Roman"/>
      <family val="1"/>
    </font>
    <font>
      <b/>
      <sz val="8"/>
      <color indexed="81"/>
      <name val="Tahoma"/>
      <family val="2"/>
    </font>
    <font>
      <sz val="8"/>
      <color indexed="81"/>
      <name val="Tahoma"/>
      <family val="2"/>
    </font>
    <font>
      <b/>
      <sz val="10"/>
      <color indexed="81"/>
      <name val="Tahoma"/>
      <family val="2"/>
    </font>
    <font>
      <sz val="10"/>
      <color indexed="81"/>
      <name val="Tahoma"/>
      <family val="2"/>
    </font>
    <font>
      <sz val="10"/>
      <name val="Arial"/>
      <family val="2"/>
    </font>
    <font>
      <b/>
      <u val="singleAccounting"/>
      <sz val="10"/>
      <name val="Arial"/>
      <family val="2"/>
    </font>
    <font>
      <sz val="14"/>
      <color indexed="12"/>
      <name val="Helv"/>
    </font>
    <font>
      <sz val="9"/>
      <color indexed="81"/>
      <name val="Tahoma"/>
      <family val="2"/>
    </font>
    <font>
      <b/>
      <sz val="9"/>
      <color indexed="81"/>
      <name val="Tahoma"/>
      <family val="2"/>
    </font>
    <font>
      <b/>
      <sz val="10"/>
      <color indexed="12"/>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42"/>
        <bgColor indexed="64"/>
      </patternFill>
    </fill>
    <fill>
      <patternFill patternType="solid">
        <fgColor indexed="50"/>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CCFFCC"/>
        <bgColor indexed="64"/>
      </patternFill>
    </fill>
    <fill>
      <patternFill patternType="solid">
        <fgColor theme="0"/>
        <bgColor indexed="64"/>
      </patternFill>
    </fill>
    <fill>
      <patternFill patternType="solid">
        <fgColor indexed="23"/>
      </patternFill>
    </fill>
    <fill>
      <patternFill patternType="solid">
        <fgColor indexed="54"/>
      </patternFill>
    </fill>
    <fill>
      <patternFill patternType="solid">
        <fgColor indexed="14"/>
      </patternFill>
    </fill>
    <fill>
      <patternFill patternType="solid">
        <fgColor rgb="FFFFFF00"/>
        <bgColor indexed="64"/>
      </patternFill>
    </fill>
    <fill>
      <patternFill patternType="solid">
        <fgColor theme="9" tint="0.39997558519241921"/>
        <bgColor indexed="64"/>
      </patternFill>
    </fill>
  </fills>
  <borders count="7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thick">
        <color indexed="49"/>
      </bottom>
      <diagonal/>
    </border>
    <border>
      <left/>
      <right/>
      <top/>
      <bottom style="thick">
        <color indexed="62"/>
      </bottom>
      <diagonal/>
    </border>
    <border>
      <left/>
      <right/>
      <top/>
      <bottom style="thick">
        <color indexed="23"/>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right/>
      <top style="thin">
        <color indexed="62"/>
      </top>
      <bottom style="double">
        <color indexed="62"/>
      </bottom>
      <diagonal/>
    </border>
    <border>
      <left/>
      <right/>
      <top style="medium">
        <color auto="1"/>
      </top>
      <bottom/>
      <diagonal/>
    </border>
  </borders>
  <cellStyleXfs count="2169">
    <xf numFmtId="0" fontId="0" fillId="0" borderId="0"/>
    <xf numFmtId="0" fontId="27" fillId="2" borderId="0" applyNumberFormat="0" applyBorder="0" applyAlignment="0" applyProtection="0"/>
    <xf numFmtId="0" fontId="92" fillId="2" borderId="0" applyNumberFormat="0" applyBorder="0" applyAlignment="0" applyProtection="0"/>
    <xf numFmtId="0" fontId="92" fillId="2" borderId="0" applyNumberFormat="0" applyBorder="0" applyAlignment="0" applyProtection="0"/>
    <xf numFmtId="0" fontId="139" fillId="30" borderId="0" applyNumberFormat="0" applyBorder="0" applyAlignment="0" applyProtection="0"/>
    <xf numFmtId="0" fontId="27" fillId="2" borderId="0" applyNumberFormat="0" applyBorder="0" applyAlignment="0" applyProtection="0"/>
    <xf numFmtId="0" fontId="92" fillId="2" borderId="0" applyNumberFormat="0" applyBorder="0" applyAlignment="0" applyProtection="0"/>
    <xf numFmtId="0" fontId="27" fillId="3" borderId="0" applyNumberFormat="0" applyBorder="0" applyAlignment="0" applyProtection="0"/>
    <xf numFmtId="0" fontId="92" fillId="3" borderId="0" applyNumberFormat="0" applyBorder="0" applyAlignment="0" applyProtection="0"/>
    <xf numFmtId="0" fontId="92" fillId="3" borderId="0" applyNumberFormat="0" applyBorder="0" applyAlignment="0" applyProtection="0"/>
    <xf numFmtId="0" fontId="139" fillId="31" borderId="0" applyNumberFormat="0" applyBorder="0" applyAlignment="0" applyProtection="0"/>
    <xf numFmtId="0" fontId="27" fillId="3" borderId="0" applyNumberFormat="0" applyBorder="0" applyAlignment="0" applyProtection="0"/>
    <xf numFmtId="0" fontId="92" fillId="3" borderId="0" applyNumberFormat="0" applyBorder="0" applyAlignment="0" applyProtection="0"/>
    <xf numFmtId="0" fontId="27" fillId="4" borderId="0" applyNumberFormat="0" applyBorder="0" applyAlignment="0" applyProtection="0"/>
    <xf numFmtId="0" fontId="92" fillId="4" borderId="0" applyNumberFormat="0" applyBorder="0" applyAlignment="0" applyProtection="0"/>
    <xf numFmtId="0" fontId="92" fillId="4" borderId="0" applyNumberFormat="0" applyBorder="0" applyAlignment="0" applyProtection="0"/>
    <xf numFmtId="0" fontId="139" fillId="32" borderId="0" applyNumberFormat="0" applyBorder="0" applyAlignment="0" applyProtection="0"/>
    <xf numFmtId="0" fontId="27" fillId="4" borderId="0" applyNumberFormat="0" applyBorder="0" applyAlignment="0" applyProtection="0"/>
    <xf numFmtId="0" fontId="92" fillId="4" borderId="0" applyNumberFormat="0" applyBorder="0" applyAlignment="0" applyProtection="0"/>
    <xf numFmtId="0" fontId="27" fillId="5" borderId="0" applyNumberFormat="0" applyBorder="0" applyAlignment="0" applyProtection="0"/>
    <xf numFmtId="0" fontId="92" fillId="5" borderId="0" applyNumberFormat="0" applyBorder="0" applyAlignment="0" applyProtection="0"/>
    <xf numFmtId="0" fontId="92" fillId="5" borderId="0" applyNumberFormat="0" applyBorder="0" applyAlignment="0" applyProtection="0"/>
    <xf numFmtId="0" fontId="139" fillId="33" borderId="0" applyNumberFormat="0" applyBorder="0" applyAlignment="0" applyProtection="0"/>
    <xf numFmtId="0" fontId="27" fillId="5" borderId="0" applyNumberFormat="0" applyBorder="0" applyAlignment="0" applyProtection="0"/>
    <xf numFmtId="0" fontId="92" fillId="5" borderId="0" applyNumberFormat="0" applyBorder="0" applyAlignment="0" applyProtection="0"/>
    <xf numFmtId="0" fontId="27"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139" fillId="34" borderId="0" applyNumberFormat="0" applyBorder="0" applyAlignment="0" applyProtection="0"/>
    <xf numFmtId="0" fontId="27" fillId="6" borderId="0" applyNumberFormat="0" applyBorder="0" applyAlignment="0" applyProtection="0"/>
    <xf numFmtId="0" fontId="92" fillId="6" borderId="0" applyNumberFormat="0" applyBorder="0" applyAlignment="0" applyProtection="0"/>
    <xf numFmtId="0" fontId="27" fillId="7" borderId="0" applyNumberFormat="0" applyBorder="0" applyAlignment="0" applyProtection="0"/>
    <xf numFmtId="0" fontId="92" fillId="7" borderId="0" applyNumberFormat="0" applyBorder="0" applyAlignment="0" applyProtection="0"/>
    <xf numFmtId="0" fontId="92" fillId="7" borderId="0" applyNumberFormat="0" applyBorder="0" applyAlignment="0" applyProtection="0"/>
    <xf numFmtId="0" fontId="139" fillId="35" borderId="0" applyNumberFormat="0" applyBorder="0" applyAlignment="0" applyProtection="0"/>
    <xf numFmtId="0" fontId="27" fillId="7" borderId="0" applyNumberFormat="0" applyBorder="0" applyAlignment="0" applyProtection="0"/>
    <xf numFmtId="0" fontId="92" fillId="7" borderId="0" applyNumberFormat="0" applyBorder="0" applyAlignment="0" applyProtection="0"/>
    <xf numFmtId="0" fontId="27" fillId="8" borderId="0" applyNumberFormat="0" applyBorder="0" applyAlignment="0" applyProtection="0"/>
    <xf numFmtId="0" fontId="92" fillId="8" borderId="0" applyNumberFormat="0" applyBorder="0" applyAlignment="0" applyProtection="0"/>
    <xf numFmtId="0" fontId="92" fillId="8" borderId="0" applyNumberFormat="0" applyBorder="0" applyAlignment="0" applyProtection="0"/>
    <xf numFmtId="0" fontId="139" fillId="36" borderId="0" applyNumberFormat="0" applyBorder="0" applyAlignment="0" applyProtection="0"/>
    <xf numFmtId="0" fontId="27" fillId="8" borderId="0" applyNumberFormat="0" applyBorder="0" applyAlignment="0" applyProtection="0"/>
    <xf numFmtId="0" fontId="92" fillId="8" borderId="0" applyNumberFormat="0" applyBorder="0" applyAlignment="0" applyProtection="0"/>
    <xf numFmtId="0" fontId="27" fillId="9" borderId="0" applyNumberFormat="0" applyBorder="0" applyAlignment="0" applyProtection="0"/>
    <xf numFmtId="0" fontId="92" fillId="9" borderId="0" applyNumberFormat="0" applyBorder="0" applyAlignment="0" applyProtection="0"/>
    <xf numFmtId="0" fontId="92" fillId="9" borderId="0" applyNumberFormat="0" applyBorder="0" applyAlignment="0" applyProtection="0"/>
    <xf numFmtId="0" fontId="139" fillId="37" borderId="0" applyNumberFormat="0" applyBorder="0" applyAlignment="0" applyProtection="0"/>
    <xf numFmtId="0" fontId="27" fillId="9" borderId="0" applyNumberFormat="0" applyBorder="0" applyAlignment="0" applyProtection="0"/>
    <xf numFmtId="0" fontId="92" fillId="9" borderId="0" applyNumberFormat="0" applyBorder="0" applyAlignment="0" applyProtection="0"/>
    <xf numFmtId="0" fontId="27" fillId="10" borderId="0" applyNumberFormat="0" applyBorder="0" applyAlignment="0" applyProtection="0"/>
    <xf numFmtId="0" fontId="92" fillId="10" borderId="0" applyNumberFormat="0" applyBorder="0" applyAlignment="0" applyProtection="0"/>
    <xf numFmtId="0" fontId="92" fillId="10" borderId="0" applyNumberFormat="0" applyBorder="0" applyAlignment="0" applyProtection="0"/>
    <xf numFmtId="0" fontId="139" fillId="38" borderId="0" applyNumberFormat="0" applyBorder="0" applyAlignment="0" applyProtection="0"/>
    <xf numFmtId="0" fontId="27" fillId="10" borderId="0" applyNumberFormat="0" applyBorder="0" applyAlignment="0" applyProtection="0"/>
    <xf numFmtId="0" fontId="92" fillId="10" borderId="0" applyNumberFormat="0" applyBorder="0" applyAlignment="0" applyProtection="0"/>
    <xf numFmtId="0" fontId="27" fillId="5" borderId="0" applyNumberFormat="0" applyBorder="0" applyAlignment="0" applyProtection="0"/>
    <xf numFmtId="0" fontId="92" fillId="5" borderId="0" applyNumberFormat="0" applyBorder="0" applyAlignment="0" applyProtection="0"/>
    <xf numFmtId="0" fontId="92" fillId="5" borderId="0" applyNumberFormat="0" applyBorder="0" applyAlignment="0" applyProtection="0"/>
    <xf numFmtId="0" fontId="139" fillId="39" borderId="0" applyNumberFormat="0" applyBorder="0" applyAlignment="0" applyProtection="0"/>
    <xf numFmtId="0" fontId="27" fillId="5" borderId="0" applyNumberFormat="0" applyBorder="0" applyAlignment="0" applyProtection="0"/>
    <xf numFmtId="0" fontId="92" fillId="5" borderId="0" applyNumberFormat="0" applyBorder="0" applyAlignment="0" applyProtection="0"/>
    <xf numFmtId="0" fontId="27" fillId="8" borderId="0" applyNumberFormat="0" applyBorder="0" applyAlignment="0" applyProtection="0"/>
    <xf numFmtId="0" fontId="92" fillId="8" borderId="0" applyNumberFormat="0" applyBorder="0" applyAlignment="0" applyProtection="0"/>
    <xf numFmtId="0" fontId="92" fillId="8" borderId="0" applyNumberFormat="0" applyBorder="0" applyAlignment="0" applyProtection="0"/>
    <xf numFmtId="0" fontId="139" fillId="40" borderId="0" applyNumberFormat="0" applyBorder="0" applyAlignment="0" applyProtection="0"/>
    <xf numFmtId="0" fontId="27" fillId="8" borderId="0" applyNumberFormat="0" applyBorder="0" applyAlignment="0" applyProtection="0"/>
    <xf numFmtId="0" fontId="92" fillId="8" borderId="0" applyNumberFormat="0" applyBorder="0" applyAlignment="0" applyProtection="0"/>
    <xf numFmtId="0" fontId="27" fillId="11" borderId="0" applyNumberFormat="0" applyBorder="0" applyAlignment="0" applyProtection="0"/>
    <xf numFmtId="0" fontId="92" fillId="11" borderId="0" applyNumberFormat="0" applyBorder="0" applyAlignment="0" applyProtection="0"/>
    <xf numFmtId="0" fontId="92" fillId="11" borderId="0" applyNumberFormat="0" applyBorder="0" applyAlignment="0" applyProtection="0"/>
    <xf numFmtId="0" fontId="139" fillId="41" borderId="0" applyNumberFormat="0" applyBorder="0" applyAlignment="0" applyProtection="0"/>
    <xf numFmtId="0" fontId="27" fillId="11" borderId="0" applyNumberFormat="0" applyBorder="0" applyAlignment="0" applyProtection="0"/>
    <xf numFmtId="0" fontId="92" fillId="11" borderId="0" applyNumberFormat="0" applyBorder="0" applyAlignment="0" applyProtection="0"/>
    <xf numFmtId="0" fontId="28" fillId="12" borderId="0" applyNumberFormat="0" applyBorder="0" applyAlignment="0" applyProtection="0"/>
    <xf numFmtId="0" fontId="93" fillId="12" borderId="0" applyNumberFormat="0" applyBorder="0" applyAlignment="0" applyProtection="0"/>
    <xf numFmtId="0" fontId="93" fillId="12" borderId="0" applyNumberFormat="0" applyBorder="0" applyAlignment="0" applyProtection="0"/>
    <xf numFmtId="0" fontId="140" fillId="42" borderId="0" applyNumberFormat="0" applyBorder="0" applyAlignment="0" applyProtection="0"/>
    <xf numFmtId="0" fontId="28" fillId="12" borderId="0" applyNumberFormat="0" applyBorder="0" applyAlignment="0" applyProtection="0"/>
    <xf numFmtId="0" fontId="93" fillId="12" borderId="0" applyNumberFormat="0" applyBorder="0" applyAlignment="0" applyProtection="0"/>
    <xf numFmtId="0" fontId="28" fillId="9" borderId="0" applyNumberFormat="0" applyBorder="0" applyAlignment="0" applyProtection="0"/>
    <xf numFmtId="0" fontId="93" fillId="9" borderId="0" applyNumberFormat="0" applyBorder="0" applyAlignment="0" applyProtection="0"/>
    <xf numFmtId="0" fontId="93" fillId="9" borderId="0" applyNumberFormat="0" applyBorder="0" applyAlignment="0" applyProtection="0"/>
    <xf numFmtId="0" fontId="140" fillId="43" borderId="0" applyNumberFormat="0" applyBorder="0" applyAlignment="0" applyProtection="0"/>
    <xf numFmtId="0" fontId="28" fillId="9" borderId="0" applyNumberFormat="0" applyBorder="0" applyAlignment="0" applyProtection="0"/>
    <xf numFmtId="0" fontId="93" fillId="9" borderId="0" applyNumberFormat="0" applyBorder="0" applyAlignment="0" applyProtection="0"/>
    <xf numFmtId="0" fontId="28" fillId="10" borderId="0" applyNumberFormat="0" applyBorder="0" applyAlignment="0" applyProtection="0"/>
    <xf numFmtId="0" fontId="93" fillId="10" borderId="0" applyNumberFormat="0" applyBorder="0" applyAlignment="0" applyProtection="0"/>
    <xf numFmtId="0" fontId="93" fillId="10" borderId="0" applyNumberFormat="0" applyBorder="0" applyAlignment="0" applyProtection="0"/>
    <xf numFmtId="0" fontId="140" fillId="44" borderId="0" applyNumberFormat="0" applyBorder="0" applyAlignment="0" applyProtection="0"/>
    <xf numFmtId="0" fontId="28" fillId="10" borderId="0" applyNumberFormat="0" applyBorder="0" applyAlignment="0" applyProtection="0"/>
    <xf numFmtId="0" fontId="93" fillId="10" borderId="0" applyNumberFormat="0" applyBorder="0" applyAlignment="0" applyProtection="0"/>
    <xf numFmtId="0" fontId="28"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140" fillId="45" borderId="0" applyNumberFormat="0" applyBorder="0" applyAlignment="0" applyProtection="0"/>
    <xf numFmtId="0" fontId="28" fillId="13" borderId="0" applyNumberFormat="0" applyBorder="0" applyAlignment="0" applyProtection="0"/>
    <xf numFmtId="0" fontId="93" fillId="13" borderId="0" applyNumberFormat="0" applyBorder="0" applyAlignment="0" applyProtection="0"/>
    <xf numFmtId="0" fontId="28" fillId="14" borderId="0" applyNumberFormat="0" applyBorder="0" applyAlignment="0" applyProtection="0"/>
    <xf numFmtId="0" fontId="93" fillId="14" borderId="0" applyNumberFormat="0" applyBorder="0" applyAlignment="0" applyProtection="0"/>
    <xf numFmtId="0" fontId="93" fillId="14" borderId="0" applyNumberFormat="0" applyBorder="0" applyAlignment="0" applyProtection="0"/>
    <xf numFmtId="0" fontId="140" fillId="46" borderId="0" applyNumberFormat="0" applyBorder="0" applyAlignment="0" applyProtection="0"/>
    <xf numFmtId="0" fontId="28" fillId="14" borderId="0" applyNumberFormat="0" applyBorder="0" applyAlignment="0" applyProtection="0"/>
    <xf numFmtId="0" fontId="93" fillId="14" borderId="0" applyNumberFormat="0" applyBorder="0" applyAlignment="0" applyProtection="0"/>
    <xf numFmtId="0" fontId="28" fillId="15" borderId="0" applyNumberFormat="0" applyBorder="0" applyAlignment="0" applyProtection="0"/>
    <xf numFmtId="0" fontId="93" fillId="15" borderId="0" applyNumberFormat="0" applyBorder="0" applyAlignment="0" applyProtection="0"/>
    <xf numFmtId="0" fontId="93" fillId="15" borderId="0" applyNumberFormat="0" applyBorder="0" applyAlignment="0" applyProtection="0"/>
    <xf numFmtId="0" fontId="140" fillId="47" borderId="0" applyNumberFormat="0" applyBorder="0" applyAlignment="0" applyProtection="0"/>
    <xf numFmtId="0" fontId="28" fillId="15" borderId="0" applyNumberFormat="0" applyBorder="0" applyAlignment="0" applyProtection="0"/>
    <xf numFmtId="0" fontId="93" fillId="15" borderId="0" applyNumberFormat="0" applyBorder="0" applyAlignment="0" applyProtection="0"/>
    <xf numFmtId="0" fontId="28" fillId="16" borderId="0" applyNumberFormat="0" applyBorder="0" applyAlignment="0" applyProtection="0"/>
    <xf numFmtId="0" fontId="93" fillId="16" borderId="0" applyNumberFormat="0" applyBorder="0" applyAlignment="0" applyProtection="0"/>
    <xf numFmtId="0" fontId="93" fillId="16" borderId="0" applyNumberFormat="0" applyBorder="0" applyAlignment="0" applyProtection="0"/>
    <xf numFmtId="0" fontId="140" fillId="48" borderId="0" applyNumberFormat="0" applyBorder="0" applyAlignment="0" applyProtection="0"/>
    <xf numFmtId="0" fontId="28" fillId="16" borderId="0" applyNumberFormat="0" applyBorder="0" applyAlignment="0" applyProtection="0"/>
    <xf numFmtId="0" fontId="93" fillId="16" borderId="0" applyNumberFormat="0" applyBorder="0" applyAlignment="0" applyProtection="0"/>
    <xf numFmtId="0" fontId="28" fillId="17" borderId="0" applyNumberFormat="0" applyBorder="0" applyAlignment="0" applyProtection="0"/>
    <xf numFmtId="0" fontId="93" fillId="17" borderId="0" applyNumberFormat="0" applyBorder="0" applyAlignment="0" applyProtection="0"/>
    <xf numFmtId="0" fontId="93" fillId="17" borderId="0" applyNumberFormat="0" applyBorder="0" applyAlignment="0" applyProtection="0"/>
    <xf numFmtId="0" fontId="140" fillId="49" borderId="0" applyNumberFormat="0" applyBorder="0" applyAlignment="0" applyProtection="0"/>
    <xf numFmtId="0" fontId="28" fillId="17" borderId="0" applyNumberFormat="0" applyBorder="0" applyAlignment="0" applyProtection="0"/>
    <xf numFmtId="0" fontId="93" fillId="17" borderId="0" applyNumberFormat="0" applyBorder="0" applyAlignment="0" applyProtection="0"/>
    <xf numFmtId="0" fontId="28" fillId="18" borderId="0" applyNumberFormat="0" applyBorder="0" applyAlignment="0" applyProtection="0"/>
    <xf numFmtId="0" fontId="93" fillId="18" borderId="0" applyNumberFormat="0" applyBorder="0" applyAlignment="0" applyProtection="0"/>
    <xf numFmtId="0" fontId="93" fillId="18" borderId="0" applyNumberFormat="0" applyBorder="0" applyAlignment="0" applyProtection="0"/>
    <xf numFmtId="0" fontId="140" fillId="50" borderId="0" applyNumberFormat="0" applyBorder="0" applyAlignment="0" applyProtection="0"/>
    <xf numFmtId="0" fontId="28" fillId="18" borderId="0" applyNumberFormat="0" applyBorder="0" applyAlignment="0" applyProtection="0"/>
    <xf numFmtId="0" fontId="93" fillId="18" borderId="0" applyNumberFormat="0" applyBorder="0" applyAlignment="0" applyProtection="0"/>
    <xf numFmtId="0" fontId="28"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140" fillId="51" borderId="0" applyNumberFormat="0" applyBorder="0" applyAlignment="0" applyProtection="0"/>
    <xf numFmtId="0" fontId="28" fillId="13" borderId="0" applyNumberFormat="0" applyBorder="0" applyAlignment="0" applyProtection="0"/>
    <xf numFmtId="0" fontId="93" fillId="13" borderId="0" applyNumberFormat="0" applyBorder="0" applyAlignment="0" applyProtection="0"/>
    <xf numFmtId="0" fontId="28" fillId="14" borderId="0" applyNumberFormat="0" applyBorder="0" applyAlignment="0" applyProtection="0"/>
    <xf numFmtId="0" fontId="93" fillId="14" borderId="0" applyNumberFormat="0" applyBorder="0" applyAlignment="0" applyProtection="0"/>
    <xf numFmtId="0" fontId="93" fillId="14" borderId="0" applyNumberFormat="0" applyBorder="0" applyAlignment="0" applyProtection="0"/>
    <xf numFmtId="0" fontId="140" fillId="52" borderId="0" applyNumberFormat="0" applyBorder="0" applyAlignment="0" applyProtection="0"/>
    <xf numFmtId="0" fontId="28" fillId="14" borderId="0" applyNumberFormat="0" applyBorder="0" applyAlignment="0" applyProtection="0"/>
    <xf numFmtId="0" fontId="93" fillId="14" borderId="0" applyNumberFormat="0" applyBorder="0" applyAlignment="0" applyProtection="0"/>
    <xf numFmtId="0" fontId="28"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140" fillId="53" borderId="0" applyNumberFormat="0" applyBorder="0" applyAlignment="0" applyProtection="0"/>
    <xf numFmtId="0" fontId="28" fillId="19" borderId="0" applyNumberFormat="0" applyBorder="0" applyAlignment="0" applyProtection="0"/>
    <xf numFmtId="0" fontId="93" fillId="19" borderId="0" applyNumberFormat="0" applyBorder="0" applyAlignment="0" applyProtection="0"/>
    <xf numFmtId="0" fontId="29" fillId="3" borderId="0" applyNumberFormat="0" applyBorder="0" applyAlignment="0" applyProtection="0"/>
    <xf numFmtId="0" fontId="94" fillId="3" borderId="0" applyNumberFormat="0" applyBorder="0" applyAlignment="0" applyProtection="0"/>
    <xf numFmtId="0" fontId="94" fillId="3" borderId="0" applyNumberFormat="0" applyBorder="0" applyAlignment="0" applyProtection="0"/>
    <xf numFmtId="0" fontId="141" fillId="54" borderId="0" applyNumberFormat="0" applyBorder="0" applyAlignment="0" applyProtection="0"/>
    <xf numFmtId="0" fontId="29" fillId="3" borderId="0" applyNumberFormat="0" applyBorder="0" applyAlignment="0" applyProtection="0"/>
    <xf numFmtId="0" fontId="94" fillId="3" borderId="0" applyNumberFormat="0" applyBorder="0" applyAlignment="0" applyProtection="0"/>
    <xf numFmtId="172" fontId="30" fillId="0" borderId="0" applyFill="0"/>
    <xf numFmtId="172" fontId="30" fillId="0" borderId="0">
      <alignment horizontal="center"/>
    </xf>
    <xf numFmtId="0" fontId="30" fillId="0" borderId="0" applyFill="0">
      <alignment horizontal="center"/>
    </xf>
    <xf numFmtId="172" fontId="7" fillId="0" borderId="1" applyFill="0"/>
    <xf numFmtId="0" fontId="13" fillId="0" borderId="0" applyFont="0" applyAlignment="0"/>
    <xf numFmtId="0" fontId="13" fillId="0" borderId="0" applyFont="0" applyAlignment="0"/>
    <xf numFmtId="0" fontId="31" fillId="0" borderId="0" applyFill="0">
      <alignment vertical="top"/>
    </xf>
    <xf numFmtId="0" fontId="7" fillId="0" borderId="0" applyFill="0">
      <alignment horizontal="left" vertical="top"/>
    </xf>
    <xf numFmtId="172" fontId="9" fillId="0" borderId="2" applyFill="0"/>
    <xf numFmtId="0" fontId="13" fillId="0" borderId="0" applyNumberFormat="0" applyFont="0" applyAlignment="0"/>
    <xf numFmtId="0" fontId="13" fillId="0" borderId="0" applyNumberFormat="0" applyFont="0" applyAlignment="0"/>
    <xf numFmtId="0" fontId="31" fillId="0" borderId="0" applyFill="0">
      <alignment wrapText="1"/>
    </xf>
    <xf numFmtId="0" fontId="7" fillId="0" borderId="0" applyFill="0">
      <alignment horizontal="left" vertical="top" wrapText="1"/>
    </xf>
    <xf numFmtId="172" fontId="32" fillId="0" borderId="0" applyFill="0"/>
    <xf numFmtId="0" fontId="33" fillId="0" borderId="0" applyNumberFormat="0" applyFont="0" applyAlignment="0">
      <alignment horizontal="center"/>
    </xf>
    <xf numFmtId="0" fontId="34" fillId="0" borderId="0" applyFill="0">
      <alignment vertical="top" wrapText="1"/>
    </xf>
    <xf numFmtId="0" fontId="9" fillId="0" borderId="0" applyFill="0">
      <alignment horizontal="left" vertical="top" wrapText="1"/>
    </xf>
    <xf numFmtId="172" fontId="13" fillId="0" borderId="0" applyFill="0"/>
    <xf numFmtId="172" fontId="13" fillId="0" borderId="0" applyFill="0"/>
    <xf numFmtId="0" fontId="33" fillId="0" borderId="0" applyNumberFormat="0" applyFont="0" applyAlignment="0">
      <alignment horizontal="center"/>
    </xf>
    <xf numFmtId="0" fontId="23" fillId="0" borderId="0" applyFill="0">
      <alignment vertical="center" wrapText="1"/>
    </xf>
    <xf numFmtId="0" fontId="8" fillId="0" borderId="0">
      <alignment horizontal="left" vertical="center" wrapText="1"/>
    </xf>
    <xf numFmtId="172" fontId="21" fillId="0" borderId="0" applyFill="0"/>
    <xf numFmtId="0" fontId="33" fillId="0" borderId="0" applyNumberFormat="0" applyFont="0" applyAlignment="0">
      <alignment horizontal="center"/>
    </xf>
    <xf numFmtId="0" fontId="17" fillId="0" borderId="0" applyFill="0">
      <alignment horizontal="center" vertical="center" wrapText="1"/>
    </xf>
    <xf numFmtId="0" fontId="13" fillId="0" borderId="0" applyFill="0">
      <alignment horizontal="center" vertical="center" wrapText="1"/>
    </xf>
    <xf numFmtId="0" fontId="13" fillId="0" borderId="0" applyFill="0">
      <alignment horizontal="center" vertical="center" wrapText="1"/>
    </xf>
    <xf numFmtId="172" fontId="35" fillId="0" borderId="0" applyFill="0"/>
    <xf numFmtId="0" fontId="33" fillId="0" borderId="0" applyNumberFormat="0" applyFont="0" applyAlignment="0">
      <alignment horizontal="center"/>
    </xf>
    <xf numFmtId="0" fontId="36" fillId="0" borderId="0" applyFill="0">
      <alignment horizontal="center" vertical="center" wrapText="1"/>
    </xf>
    <xf numFmtId="0" fontId="37" fillId="0" borderId="0" applyFill="0">
      <alignment horizontal="center" vertical="center" wrapText="1"/>
    </xf>
    <xf numFmtId="172" fontId="38" fillId="0" borderId="0" applyFill="0"/>
    <xf numFmtId="0" fontId="33" fillId="0" borderId="0" applyNumberFormat="0" applyFont="0" applyAlignment="0">
      <alignment horizontal="center"/>
    </xf>
    <xf numFmtId="0" fontId="39" fillId="0" borderId="0">
      <alignment horizontal="center" wrapText="1"/>
    </xf>
    <xf numFmtId="0" fontId="35" fillId="0" borderId="0" applyFill="0">
      <alignment horizontal="center" wrapText="1"/>
    </xf>
    <xf numFmtId="0" fontId="40" fillId="20" borderId="3" applyNumberFormat="0" applyAlignment="0" applyProtection="0"/>
    <xf numFmtId="0" fontId="95" fillId="20" borderId="3" applyNumberFormat="0" applyAlignment="0" applyProtection="0"/>
    <xf numFmtId="0" fontId="95" fillId="20" borderId="3" applyNumberFormat="0" applyAlignment="0" applyProtection="0"/>
    <xf numFmtId="0" fontId="142" fillId="55" borderId="55" applyNumberFormat="0" applyAlignment="0" applyProtection="0"/>
    <xf numFmtId="0" fontId="40" fillId="20" borderId="3" applyNumberFormat="0" applyAlignment="0" applyProtection="0"/>
    <xf numFmtId="0" fontId="95" fillId="20" borderId="3" applyNumberFormat="0" applyAlignment="0" applyProtection="0"/>
    <xf numFmtId="0" fontId="41" fillId="21" borderId="4" applyNumberFormat="0" applyAlignment="0" applyProtection="0"/>
    <xf numFmtId="0" fontId="96" fillId="21" borderId="4" applyNumberFormat="0" applyAlignment="0" applyProtection="0"/>
    <xf numFmtId="0" fontId="96" fillId="21" borderId="4" applyNumberFormat="0" applyAlignment="0" applyProtection="0"/>
    <xf numFmtId="0" fontId="143" fillId="56" borderId="56" applyNumberFormat="0" applyAlignment="0" applyProtection="0"/>
    <xf numFmtId="0" fontId="41" fillId="21" borderId="4" applyNumberFormat="0" applyAlignment="0" applyProtection="0"/>
    <xf numFmtId="0" fontId="96" fillId="21" borderId="4" applyNumberFormat="0" applyAlignment="0" applyProtection="0"/>
    <xf numFmtId="43" fontId="5"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0" fontId="25" fillId="0" borderId="0" applyFont="0" applyFill="0" applyBorder="0" applyAlignment="0" applyProtection="0"/>
    <xf numFmtId="43" fontId="13" fillId="0" borderId="0" applyFont="0" applyFill="0" applyBorder="0" applyAlignment="0" applyProtection="0"/>
    <xf numFmtId="43" fontId="133" fillId="0" borderId="0" applyFont="0" applyFill="0" applyBorder="0" applyAlignment="0" applyProtection="0"/>
    <xf numFmtId="43" fontId="13" fillId="0" borderId="0" applyFont="0" applyFill="0" applyBorder="0" applyAlignment="0" applyProtection="0"/>
    <xf numFmtId="43" fontId="133" fillId="0" borderId="0" applyFont="0" applyFill="0" applyBorder="0" applyAlignment="0" applyProtection="0"/>
    <xf numFmtId="43" fontId="13" fillId="0" borderId="0" applyFont="0" applyFill="0" applyBorder="0" applyAlignment="0" applyProtection="0"/>
    <xf numFmtId="43" fontId="133" fillId="0" borderId="0" applyFont="0" applyFill="0" applyBorder="0" applyAlignment="0" applyProtection="0"/>
    <xf numFmtId="43" fontId="13" fillId="0" borderId="0" applyFont="0" applyFill="0" applyBorder="0" applyAlignment="0" applyProtection="0"/>
    <xf numFmtId="43" fontId="133" fillId="0" borderId="0" applyFont="0" applyFill="0" applyBorder="0" applyAlignment="0" applyProtection="0"/>
    <xf numFmtId="43" fontId="13" fillId="0" borderId="0" applyFont="0" applyFill="0" applyBorder="0" applyAlignment="0" applyProtection="0"/>
    <xf numFmtId="43" fontId="133" fillId="0" borderId="0" applyFont="0" applyFill="0" applyBorder="0" applyAlignment="0" applyProtection="0"/>
    <xf numFmtId="43" fontId="13" fillId="0" borderId="0" applyFont="0" applyFill="0" applyBorder="0" applyAlignment="0" applyProtection="0"/>
    <xf numFmtId="43" fontId="133"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13"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5" fillId="0" borderId="0" applyFont="0" applyFill="0" applyBorder="0" applyAlignment="0" applyProtection="0"/>
    <xf numFmtId="43" fontId="13" fillId="0" borderId="0" applyFont="0" applyFill="0" applyBorder="0" applyAlignment="0" applyProtection="0"/>
    <xf numFmtId="43" fontId="13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2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3" fontId="5" fillId="0" borderId="0" applyFont="0" applyFill="0" applyBorder="0" applyAlignment="0" applyProtection="0"/>
    <xf numFmtId="43" fontId="12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3" fillId="0" borderId="0" applyFont="0" applyFill="0" applyBorder="0" applyAlignment="0" applyProtection="0"/>
    <xf numFmtId="43" fontId="13" fillId="0" borderId="0" applyFont="0" applyFill="0" applyBorder="0" applyAlignment="0" applyProtection="0"/>
    <xf numFmtId="43" fontId="133"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3" fillId="0" borderId="0" applyFont="0" applyFill="0" applyBorder="0" applyAlignment="0" applyProtection="0"/>
    <xf numFmtId="43" fontId="13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9"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13"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0" fontId="25" fillId="0" borderId="0" applyFont="0" applyFill="0" applyBorder="0" applyAlignment="0" applyProtection="0"/>
    <xf numFmtId="43" fontId="113"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3" fontId="13"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13"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2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2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3" fontId="13" fillId="0" borderId="0" applyFont="0" applyFill="0" applyBorder="0" applyAlignment="0" applyProtection="0"/>
    <xf numFmtId="3" fontId="98" fillId="0" borderId="0" applyFont="0" applyFill="0" applyBorder="0" applyAlignment="0" applyProtection="0"/>
    <xf numFmtId="3" fontId="98" fillId="0" borderId="0" applyFont="0" applyFill="0" applyBorder="0" applyAlignment="0" applyProtection="0"/>
    <xf numFmtId="3" fontId="13" fillId="0" borderId="0" applyFont="0" applyFill="0" applyBorder="0" applyAlignment="0" applyProtection="0"/>
    <xf numFmtId="3" fontId="98" fillId="0" borderId="0" applyFont="0" applyFill="0" applyBorder="0" applyAlignment="0" applyProtection="0"/>
    <xf numFmtId="3" fontId="13" fillId="0" borderId="0" applyFont="0" applyFill="0" applyBorder="0" applyAlignment="0" applyProtection="0"/>
    <xf numFmtId="3" fontId="13" fillId="0" borderId="0" applyFont="0" applyFill="0" applyBorder="0" applyAlignment="0" applyProtection="0"/>
    <xf numFmtId="3" fontId="98" fillId="0" borderId="0" applyFont="0" applyFill="0" applyBorder="0" applyAlignment="0" applyProtection="0"/>
    <xf numFmtId="44" fontId="13" fillId="0" borderId="0" applyFont="0" applyFill="0" applyBorder="0" applyAlignment="0" applyProtection="0"/>
    <xf numFmtId="44" fontId="12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4" fillId="0" borderId="0" applyFont="0" applyFill="0" applyBorder="0" applyAlignment="0" applyProtection="0"/>
    <xf numFmtId="44" fontId="13" fillId="0" borderId="0" applyFont="0" applyFill="0" applyBorder="0" applyAlignment="0" applyProtection="0"/>
    <xf numFmtId="44" fontId="135"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 fillId="0" borderId="0" applyFont="0" applyFill="0" applyBorder="0" applyAlignment="0" applyProtection="0"/>
    <xf numFmtId="44" fontId="12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3" fillId="0" borderId="0" applyFont="0" applyFill="0" applyBorder="0" applyAlignment="0" applyProtection="0"/>
    <xf numFmtId="44" fontId="13" fillId="0" borderId="0" applyFont="0" applyFill="0" applyBorder="0" applyAlignment="0" applyProtection="0"/>
    <xf numFmtId="44" fontId="133" fillId="0" borderId="0" applyFont="0" applyFill="0" applyBorder="0" applyAlignment="0" applyProtection="0"/>
    <xf numFmtId="44" fontId="13" fillId="0" borderId="0" applyFont="0" applyFill="0" applyBorder="0" applyAlignment="0" applyProtection="0"/>
    <xf numFmtId="44" fontId="134" fillId="0" borderId="0" applyFont="0" applyFill="0" applyBorder="0" applyAlignment="0" applyProtection="0"/>
    <xf numFmtId="44" fontId="13" fillId="0" borderId="0" applyFont="0" applyFill="0" applyBorder="0" applyAlignment="0" applyProtection="0"/>
    <xf numFmtId="44" fontId="135"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9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97" fillId="0" borderId="0" applyFont="0" applyFill="0" applyBorder="0" applyAlignment="0" applyProtection="0"/>
    <xf numFmtId="44" fontId="113"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139"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13" fillId="0" borderId="0" applyFont="0" applyFill="0" applyBorder="0" applyAlignment="0" applyProtection="0"/>
    <xf numFmtId="44" fontId="92" fillId="0" borderId="0" applyFont="0" applyFill="0" applyBorder="0" applyAlignment="0" applyProtection="0"/>
    <xf numFmtId="44" fontId="9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5" fontId="13" fillId="0" borderId="0" applyFont="0" applyFill="0" applyBorder="0" applyAlignment="0" applyProtection="0"/>
    <xf numFmtId="195" fontId="98" fillId="0" borderId="0" applyFont="0" applyFill="0" applyBorder="0" applyAlignment="0" applyProtection="0"/>
    <xf numFmtId="195" fontId="98" fillId="0" borderId="0" applyFont="0" applyFill="0" applyBorder="0" applyAlignment="0" applyProtection="0"/>
    <xf numFmtId="5" fontId="13" fillId="0" borderId="0" applyFont="0" applyFill="0" applyBorder="0" applyAlignment="0" applyProtection="0"/>
    <xf numFmtId="195" fontId="98" fillId="0" borderId="0" applyFont="0" applyFill="0" applyBorder="0" applyAlignment="0" applyProtection="0"/>
    <xf numFmtId="5" fontId="13" fillId="0" borderId="0" applyFont="0" applyFill="0" applyBorder="0" applyAlignment="0" applyProtection="0"/>
    <xf numFmtId="5" fontId="13" fillId="0" borderId="0" applyFont="0" applyFill="0" applyBorder="0" applyAlignment="0" applyProtection="0"/>
    <xf numFmtId="195" fontId="98" fillId="0" borderId="0" applyFont="0" applyFill="0" applyBorder="0" applyAlignment="0" applyProtection="0"/>
    <xf numFmtId="14" fontId="13" fillId="0" borderId="0" applyFont="0" applyFill="0" applyBorder="0" applyAlignment="0" applyProtection="0"/>
    <xf numFmtId="0" fontId="98" fillId="0" borderId="0" applyFont="0" applyFill="0" applyBorder="0" applyAlignment="0" applyProtection="0"/>
    <xf numFmtId="0" fontId="98" fillId="0" borderId="0" applyFont="0" applyFill="0" applyBorder="0" applyAlignment="0" applyProtection="0"/>
    <xf numFmtId="14" fontId="13" fillId="0" borderId="0" applyFont="0" applyFill="0" applyBorder="0" applyAlignment="0" applyProtection="0"/>
    <xf numFmtId="0" fontId="98" fillId="0" borderId="0" applyFont="0" applyFill="0" applyBorder="0" applyAlignment="0" applyProtection="0"/>
    <xf numFmtId="14" fontId="13" fillId="0" borderId="0" applyFont="0" applyFill="0" applyBorder="0" applyAlignment="0" applyProtection="0"/>
    <xf numFmtId="14" fontId="13" fillId="0" borderId="0" applyFont="0" applyFill="0" applyBorder="0" applyAlignment="0" applyProtection="0"/>
    <xf numFmtId="0" fontId="98" fillId="0" borderId="0" applyFont="0" applyFill="0" applyBorder="0" applyAlignment="0" applyProtection="0"/>
    <xf numFmtId="0" fontId="42"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144" fillId="0" borderId="0" applyNumberFormat="0" applyFill="0" applyBorder="0" applyAlignment="0" applyProtection="0"/>
    <xf numFmtId="0" fontId="42" fillId="0" borderId="0" applyNumberFormat="0" applyFill="0" applyBorder="0" applyAlignment="0" applyProtection="0"/>
    <xf numFmtId="0" fontId="99" fillId="0" borderId="0" applyNumberFormat="0" applyFill="0" applyBorder="0" applyAlignment="0" applyProtection="0"/>
    <xf numFmtId="2" fontId="13" fillId="0" borderId="0" applyFont="0" applyFill="0" applyBorder="0" applyAlignment="0" applyProtection="0"/>
    <xf numFmtId="2" fontId="98" fillId="0" borderId="0" applyFont="0" applyFill="0" applyBorder="0" applyAlignment="0" applyProtection="0"/>
    <xf numFmtId="2" fontId="98" fillId="0" borderId="0" applyFont="0" applyFill="0" applyBorder="0" applyAlignment="0" applyProtection="0"/>
    <xf numFmtId="2" fontId="13" fillId="0" borderId="0" applyFont="0" applyFill="0" applyBorder="0" applyAlignment="0" applyProtection="0"/>
    <xf numFmtId="2" fontId="98" fillId="0" borderId="0" applyFon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 fontId="98" fillId="0" borderId="0" applyFont="0" applyFill="0" applyBorder="0" applyAlignment="0" applyProtection="0"/>
    <xf numFmtId="0" fontId="43"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45" fillId="57" borderId="0" applyNumberFormat="0" applyBorder="0" applyAlignment="0" applyProtection="0"/>
    <xf numFmtId="0" fontId="43" fillId="4" borderId="0" applyNumberFormat="0" applyBorder="0" applyAlignment="0" applyProtection="0"/>
    <xf numFmtId="0" fontId="100" fillId="4" borderId="0" applyNumberFormat="0" applyBorder="0" applyAlignment="0" applyProtection="0"/>
    <xf numFmtId="0" fontId="24" fillId="0" borderId="0" applyFon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46" fillId="0" borderId="57" applyNumberFormat="0" applyFill="0" applyAlignment="0" applyProtection="0"/>
    <xf numFmtId="0" fontId="24" fillId="0" borderId="0" applyFon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9" fillId="0" borderId="0" applyFon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47" fillId="0" borderId="58" applyNumberFormat="0" applyFill="0" applyAlignment="0" applyProtection="0"/>
    <xf numFmtId="0" fontId="9" fillId="0" borderId="0" applyFon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44" fillId="0" borderId="5" applyNumberFormat="0" applyFill="0" applyAlignment="0" applyProtection="0"/>
    <xf numFmtId="0" fontId="103" fillId="0" borderId="5" applyNumberFormat="0" applyFill="0" applyAlignment="0" applyProtection="0"/>
    <xf numFmtId="0" fontId="103" fillId="0" borderId="5" applyNumberFormat="0" applyFill="0" applyAlignment="0" applyProtection="0"/>
    <xf numFmtId="0" fontId="148" fillId="0" borderId="59" applyNumberFormat="0" applyFill="0" applyAlignment="0" applyProtection="0"/>
    <xf numFmtId="0" fontId="44" fillId="0" borderId="5" applyNumberFormat="0" applyFill="0" applyAlignment="0" applyProtection="0"/>
    <xf numFmtId="0" fontId="103" fillId="0" borderId="5" applyNumberFormat="0" applyFill="0" applyAlignment="0" applyProtection="0"/>
    <xf numFmtId="0" fontId="4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48" fillId="0" borderId="0" applyNumberFormat="0" applyFill="0" applyBorder="0" applyAlignment="0" applyProtection="0"/>
    <xf numFmtId="0" fontId="44" fillId="0" borderId="0" applyNumberFormat="0" applyFill="0" applyBorder="0" applyAlignment="0" applyProtection="0"/>
    <xf numFmtId="0" fontId="103" fillId="0" borderId="0" applyNumberFormat="0" applyFill="0" applyBorder="0" applyAlignment="0" applyProtection="0"/>
    <xf numFmtId="0" fontId="45" fillId="0" borderId="6"/>
    <xf numFmtId="0" fontId="46" fillId="0" borderId="0"/>
    <xf numFmtId="0" fontId="47" fillId="7" borderId="3" applyNumberFormat="0" applyAlignment="0" applyProtection="0"/>
    <xf numFmtId="0" fontId="104" fillId="7" borderId="3" applyNumberFormat="0" applyAlignment="0" applyProtection="0"/>
    <xf numFmtId="0" fontId="104" fillId="7" borderId="3" applyNumberFormat="0" applyAlignment="0" applyProtection="0"/>
    <xf numFmtId="0" fontId="149" fillId="58" borderId="55" applyNumberFormat="0" applyAlignment="0" applyProtection="0"/>
    <xf numFmtId="0" fontId="47" fillId="7" borderId="3" applyNumberFormat="0" applyAlignment="0" applyProtection="0"/>
    <xf numFmtId="0" fontId="104" fillId="7" borderId="3" applyNumberFormat="0" applyAlignment="0" applyProtection="0"/>
    <xf numFmtId="0" fontId="48" fillId="0" borderId="7" applyNumberFormat="0" applyFill="0" applyAlignment="0" applyProtection="0"/>
    <xf numFmtId="0" fontId="105" fillId="0" borderId="7" applyNumberFormat="0" applyFill="0" applyAlignment="0" applyProtection="0"/>
    <xf numFmtId="0" fontId="105" fillId="0" borderId="7" applyNumberFormat="0" applyFill="0" applyAlignment="0" applyProtection="0"/>
    <xf numFmtId="0" fontId="150" fillId="0" borderId="60" applyNumberFormat="0" applyFill="0" applyAlignment="0" applyProtection="0"/>
    <xf numFmtId="0" fontId="48" fillId="0" borderId="7" applyNumberFormat="0" applyFill="0" applyAlignment="0" applyProtection="0"/>
    <xf numFmtId="0" fontId="105" fillId="0" borderId="7" applyNumberFormat="0" applyFill="0" applyAlignment="0" applyProtection="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0" fontId="49" fillId="22" borderId="0" applyNumberFormat="0" applyBorder="0" applyAlignment="0" applyProtection="0"/>
    <xf numFmtId="0" fontId="106" fillId="22" borderId="0" applyNumberFormat="0" applyBorder="0" applyAlignment="0" applyProtection="0"/>
    <xf numFmtId="0" fontId="106" fillId="22" borderId="0" applyNumberFormat="0" applyBorder="0" applyAlignment="0" applyProtection="0"/>
    <xf numFmtId="0" fontId="151" fillId="59" borderId="0" applyNumberFormat="0" applyBorder="0" applyAlignment="0" applyProtection="0"/>
    <xf numFmtId="0" fontId="49" fillId="22" borderId="0" applyNumberFormat="0" applyBorder="0" applyAlignment="0" applyProtection="0"/>
    <xf numFmtId="0" fontId="106" fillId="22" borderId="0" applyNumberFormat="0" applyBorder="0" applyAlignment="0" applyProtection="0"/>
    <xf numFmtId="0" fontId="139" fillId="0" borderId="0"/>
    <xf numFmtId="0" fontId="25" fillId="0" borderId="0"/>
    <xf numFmtId="3" fontId="13" fillId="0" borderId="0"/>
    <xf numFmtId="3" fontId="13" fillId="0" borderId="0"/>
    <xf numFmtId="0" fontId="25" fillId="0" borderId="0"/>
    <xf numFmtId="0" fontId="25" fillId="0" borderId="0"/>
    <xf numFmtId="0" fontId="13" fillId="0" borderId="0"/>
    <xf numFmtId="0" fontId="13" fillId="0" borderId="0"/>
    <xf numFmtId="3" fontId="13" fillId="0" borderId="0"/>
    <xf numFmtId="0" fontId="13" fillId="0" borderId="0"/>
    <xf numFmtId="0" fontId="25" fillId="0" borderId="0"/>
    <xf numFmtId="0" fontId="25" fillId="0" borderId="0"/>
    <xf numFmtId="0" fontId="139" fillId="0" borderId="0"/>
    <xf numFmtId="3" fontId="13" fillId="0" borderId="0"/>
    <xf numFmtId="3" fontId="13" fillId="0" borderId="0"/>
    <xf numFmtId="3" fontId="13" fillId="0" borderId="0"/>
    <xf numFmtId="0" fontId="13" fillId="0" borderId="0"/>
    <xf numFmtId="3" fontId="13" fillId="0" borderId="0"/>
    <xf numFmtId="3" fontId="13" fillId="0" borderId="0"/>
    <xf numFmtId="3" fontId="13" fillId="0" borderId="0"/>
    <xf numFmtId="3" fontId="13" fillId="0" borderId="0"/>
    <xf numFmtId="0" fontId="13" fillId="0" borderId="0"/>
    <xf numFmtId="0" fontId="13" fillId="0" borderId="0"/>
    <xf numFmtId="0" fontId="13" fillId="0" borderId="0"/>
    <xf numFmtId="0" fontId="152" fillId="0" borderId="0"/>
    <xf numFmtId="0" fontId="109" fillId="0" borderId="0"/>
    <xf numFmtId="0" fontId="13" fillId="0" borderId="0"/>
    <xf numFmtId="0" fontId="13" fillId="0" borderId="0"/>
    <xf numFmtId="0" fontId="152"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0" fontId="13" fillId="0" borderId="0"/>
    <xf numFmtId="0" fontId="13" fillId="0" borderId="0"/>
    <xf numFmtId="0" fontId="13" fillId="0" borderId="0"/>
    <xf numFmtId="0" fontId="109" fillId="0" borderId="0"/>
    <xf numFmtId="0" fontId="13" fillId="0" borderId="0"/>
    <xf numFmtId="3" fontId="13" fillId="0" borderId="0"/>
    <xf numFmtId="3" fontId="13" fillId="0" borderId="0"/>
    <xf numFmtId="0" fontId="5" fillId="0" borderId="0"/>
    <xf numFmtId="0" fontId="122" fillId="0" borderId="0"/>
    <xf numFmtId="0" fontId="13" fillId="0" borderId="0"/>
    <xf numFmtId="0" fontId="13" fillId="0" borderId="0"/>
    <xf numFmtId="0" fontId="133" fillId="0" borderId="0"/>
    <xf numFmtId="0" fontId="13" fillId="0" borderId="0"/>
    <xf numFmtId="0" fontId="133" fillId="0" borderId="0"/>
    <xf numFmtId="0" fontId="13" fillId="0" borderId="0"/>
    <xf numFmtId="0" fontId="134" fillId="0" borderId="0"/>
    <xf numFmtId="0" fontId="13" fillId="0" borderId="0"/>
    <xf numFmtId="0" fontId="135" fillId="0" borderId="0"/>
    <xf numFmtId="0" fontId="13" fillId="0" borderId="0"/>
    <xf numFmtId="0" fontId="13" fillId="0" borderId="0"/>
    <xf numFmtId="0" fontId="9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09" fillId="0" borderId="0"/>
    <xf numFmtId="0" fontId="13" fillId="0" borderId="0"/>
    <xf numFmtId="0" fontId="13" fillId="0" borderId="0"/>
    <xf numFmtId="0" fontId="13" fillId="0" borderId="0"/>
    <xf numFmtId="0" fontId="13" fillId="0" borderId="0"/>
    <xf numFmtId="0" fontId="13" fillId="0" borderId="0"/>
    <xf numFmtId="3" fontId="13" fillId="0" borderId="0"/>
    <xf numFmtId="0" fontId="13" fillId="0" borderId="0"/>
    <xf numFmtId="0" fontId="25" fillId="0" borderId="0"/>
    <xf numFmtId="0" fontId="13" fillId="0" borderId="0"/>
    <xf numFmtId="0" fontId="13" fillId="0" borderId="0"/>
    <xf numFmtId="0" fontId="25" fillId="0" borderId="0"/>
    <xf numFmtId="0" fontId="25" fillId="0" borderId="0"/>
    <xf numFmtId="3" fontId="13" fillId="0" borderId="0"/>
    <xf numFmtId="3" fontId="13" fillId="0" borderId="0"/>
    <xf numFmtId="0" fontId="13" fillId="0" borderId="0"/>
    <xf numFmtId="0" fontId="139" fillId="0" borderId="0"/>
    <xf numFmtId="0" fontId="25" fillId="0" borderId="0"/>
    <xf numFmtId="0" fontId="13" fillId="0" borderId="0"/>
    <xf numFmtId="0" fontId="13" fillId="0" borderId="0"/>
    <xf numFmtId="0" fontId="13" fillId="0" borderId="0"/>
    <xf numFmtId="0" fontId="139" fillId="0" borderId="0"/>
    <xf numFmtId="0" fontId="13" fillId="0" borderId="0"/>
    <xf numFmtId="0" fontId="13" fillId="0" borderId="0"/>
    <xf numFmtId="0" fontId="139" fillId="0" borderId="0"/>
    <xf numFmtId="0" fontId="25" fillId="0" borderId="0"/>
    <xf numFmtId="0" fontId="13" fillId="0" borderId="0"/>
    <xf numFmtId="0" fontId="139" fillId="0" borderId="0"/>
    <xf numFmtId="0" fontId="25" fillId="0" borderId="0"/>
    <xf numFmtId="0" fontId="13" fillId="0" borderId="0"/>
    <xf numFmtId="0" fontId="5" fillId="0" borderId="0"/>
    <xf numFmtId="0" fontId="6" fillId="0" borderId="0" applyProtection="0"/>
    <xf numFmtId="0" fontId="5" fillId="0" borderId="0"/>
    <xf numFmtId="0" fontId="13" fillId="0" borderId="0"/>
    <xf numFmtId="0" fontId="5" fillId="0" borderId="0"/>
    <xf numFmtId="172" fontId="6" fillId="0" borderId="0" applyProtection="0"/>
    <xf numFmtId="0" fontId="60" fillId="0" borderId="0"/>
    <xf numFmtId="0" fontId="5" fillId="0" borderId="0"/>
    <xf numFmtId="0" fontId="6" fillId="23" borderId="8" applyNumberFormat="0" applyFont="0" applyAlignment="0" applyProtection="0"/>
    <xf numFmtId="0" fontId="13" fillId="23" borderId="8" applyNumberFormat="0" applyFont="0" applyAlignment="0" applyProtection="0"/>
    <xf numFmtId="0" fontId="92" fillId="60" borderId="61" applyNumberFormat="0" applyFont="0" applyAlignment="0" applyProtection="0"/>
    <xf numFmtId="0" fontId="92" fillId="60" borderId="61" applyNumberFormat="0" applyFont="0" applyAlignment="0" applyProtection="0"/>
    <xf numFmtId="0" fontId="13" fillId="23" borderId="8" applyNumberFormat="0" applyFont="0" applyAlignment="0" applyProtection="0"/>
    <xf numFmtId="0" fontId="92" fillId="60" borderId="61" applyNumberFormat="0" applyFont="0" applyAlignment="0" applyProtection="0"/>
    <xf numFmtId="0" fontId="92" fillId="60" borderId="61" applyNumberFormat="0" applyFont="0" applyAlignment="0" applyProtection="0"/>
    <xf numFmtId="0" fontId="6" fillId="23" borderId="8" applyNumberFormat="0" applyFont="0" applyAlignment="0" applyProtection="0"/>
    <xf numFmtId="0" fontId="13" fillId="23" borderId="8" applyNumberFormat="0" applyFont="0" applyAlignment="0" applyProtection="0"/>
    <xf numFmtId="0" fontId="50" fillId="20" borderId="9" applyNumberFormat="0" applyAlignment="0" applyProtection="0"/>
    <xf numFmtId="0" fontId="107" fillId="20" borderId="9" applyNumberFormat="0" applyAlignment="0" applyProtection="0"/>
    <xf numFmtId="0" fontId="107" fillId="20" borderId="9" applyNumberFormat="0" applyAlignment="0" applyProtection="0"/>
    <xf numFmtId="0" fontId="153" fillId="55" borderId="62" applyNumberFormat="0" applyAlignment="0" applyProtection="0"/>
    <xf numFmtId="0" fontId="50" fillId="20" borderId="9" applyNumberFormat="0" applyAlignment="0" applyProtection="0"/>
    <xf numFmtId="0" fontId="107" fillId="20" borderId="9" applyNumberFormat="0" applyAlignment="0" applyProtection="0"/>
    <xf numFmtId="9" fontId="5"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2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3" fillId="0" borderId="0" applyFont="0" applyFill="0" applyBorder="0" applyAlignment="0" applyProtection="0"/>
    <xf numFmtId="9" fontId="13" fillId="0" borderId="0" applyFont="0" applyFill="0" applyBorder="0" applyAlignment="0" applyProtection="0"/>
    <xf numFmtId="9" fontId="133" fillId="0" borderId="0" applyFont="0" applyFill="0" applyBorder="0" applyAlignment="0" applyProtection="0"/>
    <xf numFmtId="9" fontId="13" fillId="0" borderId="0" applyFont="0" applyFill="0" applyBorder="0" applyAlignment="0" applyProtection="0"/>
    <xf numFmtId="9" fontId="134" fillId="0" borderId="0" applyFont="0" applyFill="0" applyBorder="0" applyAlignment="0" applyProtection="0"/>
    <xf numFmtId="9" fontId="13" fillId="0" borderId="0" applyFont="0" applyFill="0" applyBorder="0" applyAlignment="0" applyProtection="0"/>
    <xf numFmtId="9" fontId="135"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5" fillId="0" borderId="0" applyFont="0" applyFill="0" applyBorder="0" applyAlignment="0" applyProtection="0"/>
    <xf numFmtId="9" fontId="12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3" fillId="0" borderId="0" applyFont="0" applyFill="0" applyBorder="0" applyAlignment="0" applyProtection="0"/>
    <xf numFmtId="9" fontId="13" fillId="0" borderId="0" applyFont="0" applyFill="0" applyBorder="0" applyAlignment="0" applyProtection="0"/>
    <xf numFmtId="9" fontId="133" fillId="0" borderId="0" applyFont="0" applyFill="0" applyBorder="0" applyAlignment="0" applyProtection="0"/>
    <xf numFmtId="9" fontId="13" fillId="0" borderId="0" applyFont="0" applyFill="0" applyBorder="0" applyAlignment="0" applyProtection="0"/>
    <xf numFmtId="9" fontId="134" fillId="0" borderId="0" applyFont="0" applyFill="0" applyBorder="0" applyAlignment="0" applyProtection="0"/>
    <xf numFmtId="9" fontId="13" fillId="0" borderId="0" applyFont="0" applyFill="0" applyBorder="0" applyAlignment="0" applyProtection="0"/>
    <xf numFmtId="9" fontId="135"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9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13"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9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13"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13" fillId="0" borderId="0" applyFont="0" applyFill="0" applyBorder="0" applyAlignment="0" applyProtection="0"/>
    <xf numFmtId="9" fontId="113"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139"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3" fontId="13" fillId="0" borderId="0">
      <alignment horizontal="left" vertical="top"/>
    </xf>
    <xf numFmtId="3" fontId="13" fillId="0" borderId="0">
      <alignment horizontal="left" vertical="top"/>
    </xf>
    <xf numFmtId="0" fontId="26" fillId="0" borderId="6">
      <alignment horizontal="center"/>
    </xf>
    <xf numFmtId="0" fontId="26" fillId="0" borderId="6">
      <alignment horizontal="center"/>
    </xf>
    <xf numFmtId="0" fontId="26" fillId="0" borderId="6">
      <alignment horizontal="center"/>
    </xf>
    <xf numFmtId="0" fontId="26" fillId="0" borderId="6">
      <alignment horizontal="center"/>
    </xf>
    <xf numFmtId="0" fontId="26" fillId="0" borderId="6">
      <alignment horizontal="center"/>
    </xf>
    <xf numFmtId="0" fontId="26" fillId="0" borderId="6">
      <alignment horizontal="center"/>
    </xf>
    <xf numFmtId="0" fontId="26" fillId="0" borderId="6">
      <alignment horizontal="center"/>
    </xf>
    <xf numFmtId="0" fontId="26" fillId="0" borderId="6">
      <alignment horizontal="center"/>
    </xf>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0" fontId="25" fillId="24" borderId="0" applyNumberFormat="0" applyFont="0" applyBorder="0" applyAlignment="0" applyProtection="0"/>
    <xf numFmtId="0" fontId="25" fillId="24" borderId="0" applyNumberFormat="0" applyFont="0" applyBorder="0" applyAlignment="0" applyProtection="0"/>
    <xf numFmtId="0" fontId="25" fillId="24" borderId="0" applyNumberFormat="0" applyFont="0" applyBorder="0" applyAlignment="0" applyProtection="0"/>
    <xf numFmtId="0" fontId="25" fillId="24" borderId="0" applyNumberFormat="0" applyFont="0" applyBorder="0" applyAlignment="0" applyProtection="0"/>
    <xf numFmtId="3" fontId="13" fillId="0" borderId="0">
      <alignment horizontal="right" vertical="top"/>
    </xf>
    <xf numFmtId="3" fontId="13" fillId="0" borderId="0">
      <alignment horizontal="right" vertical="top"/>
    </xf>
    <xf numFmtId="41" fontId="8" fillId="25" borderId="10" applyFill="0"/>
    <xf numFmtId="0" fontId="51" fillId="0" borderId="0">
      <alignment horizontal="left" indent="7"/>
    </xf>
    <xf numFmtId="41" fontId="8" fillId="0" borderId="10" applyFill="0">
      <alignment horizontal="left" indent="2"/>
    </xf>
    <xf numFmtId="172" fontId="22" fillId="0" borderId="11" applyFill="0">
      <alignment horizontal="right"/>
    </xf>
    <xf numFmtId="0" fontId="10" fillId="0" borderId="12" applyNumberFormat="0" applyFont="0" applyBorder="0">
      <alignment horizontal="right"/>
    </xf>
    <xf numFmtId="0" fontId="52" fillId="0" borderId="0" applyFill="0"/>
    <xf numFmtId="0" fontId="9" fillId="0" borderId="0" applyFill="0"/>
    <xf numFmtId="4" fontId="22" fillId="0" borderId="11" applyFill="0"/>
    <xf numFmtId="0" fontId="13" fillId="0" borderId="0" applyNumberFormat="0" applyFont="0" applyBorder="0" applyAlignment="0"/>
    <xf numFmtId="0" fontId="13" fillId="0" borderId="0" applyNumberFormat="0" applyFont="0" applyBorder="0" applyAlignment="0"/>
    <xf numFmtId="0" fontId="34" fillId="0" borderId="0" applyFill="0">
      <alignment horizontal="left" indent="1"/>
    </xf>
    <xf numFmtId="0" fontId="53" fillId="0" borderId="0" applyFill="0">
      <alignment horizontal="left" indent="1"/>
    </xf>
    <xf numFmtId="4" fontId="21" fillId="0" borderId="0" applyFill="0"/>
    <xf numFmtId="0" fontId="13" fillId="0" borderId="0" applyNumberFormat="0" applyFont="0" applyFill="0" applyBorder="0" applyAlignment="0"/>
    <xf numFmtId="0" fontId="13" fillId="0" borderId="0" applyNumberFormat="0" applyFont="0" applyFill="0" applyBorder="0" applyAlignment="0"/>
    <xf numFmtId="0" fontId="34" fillId="0" borderId="0" applyFill="0">
      <alignment horizontal="left" indent="2"/>
    </xf>
    <xf numFmtId="0" fontId="9" fillId="0" borderId="0" applyFill="0">
      <alignment horizontal="left" indent="2"/>
    </xf>
    <xf numFmtId="4" fontId="21" fillId="0" borderId="0" applyFill="0"/>
    <xf numFmtId="0" fontId="13" fillId="0" borderId="0" applyNumberFormat="0" applyFont="0" applyBorder="0" applyAlignment="0"/>
    <xf numFmtId="0" fontId="13" fillId="0" borderId="0" applyNumberFormat="0" applyFont="0" applyBorder="0" applyAlignment="0"/>
    <xf numFmtId="0" fontId="54" fillId="0" borderId="0">
      <alignment horizontal="left" indent="3"/>
    </xf>
    <xf numFmtId="0" fontId="55" fillId="0" borderId="0" applyFill="0">
      <alignment horizontal="left" indent="3"/>
    </xf>
    <xf numFmtId="4" fontId="21" fillId="0" borderId="0" applyFill="0"/>
    <xf numFmtId="0" fontId="13" fillId="0" borderId="0" applyNumberFormat="0" applyFont="0" applyBorder="0" applyAlignment="0"/>
    <xf numFmtId="0" fontId="13" fillId="0" borderId="0" applyNumberFormat="0" applyFont="0" applyBorder="0" applyAlignment="0"/>
    <xf numFmtId="0" fontId="17" fillId="0" borderId="0">
      <alignment horizontal="left" indent="4"/>
    </xf>
    <xf numFmtId="0" fontId="13" fillId="0" borderId="0" applyFill="0">
      <alignment horizontal="left" indent="4"/>
    </xf>
    <xf numFmtId="0" fontId="13" fillId="0" borderId="0" applyFill="0">
      <alignment horizontal="left" indent="4"/>
    </xf>
    <xf numFmtId="4" fontId="35" fillId="0" borderId="0" applyFill="0"/>
    <xf numFmtId="0" fontId="13" fillId="0" borderId="0" applyNumberFormat="0" applyFont="0" applyBorder="0" applyAlignment="0"/>
    <xf numFmtId="0" fontId="13" fillId="0" borderId="0" applyNumberFormat="0" applyFont="0" applyBorder="0" applyAlignment="0"/>
    <xf numFmtId="0" fontId="36" fillId="0" borderId="0">
      <alignment horizontal="left" indent="5"/>
    </xf>
    <xf numFmtId="0" fontId="37" fillId="0" borderId="0" applyFill="0">
      <alignment horizontal="left" indent="5"/>
    </xf>
    <xf numFmtId="4" fontId="38" fillId="0" borderId="0" applyFill="0"/>
    <xf numFmtId="0" fontId="13" fillId="0" borderId="0" applyNumberFormat="0" applyFont="0" applyFill="0" applyBorder="0" applyAlignment="0"/>
    <xf numFmtId="0" fontId="13" fillId="0" borderId="0" applyNumberFormat="0" applyFont="0" applyFill="0" applyBorder="0" applyAlignment="0"/>
    <xf numFmtId="0" fontId="39" fillId="0" borderId="0" applyFill="0">
      <alignment horizontal="left" indent="6"/>
    </xf>
    <xf numFmtId="0" fontId="35" fillId="0" borderId="0" applyFill="0">
      <alignment horizontal="left" indent="6"/>
    </xf>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54" fillId="0" borderId="0" applyNumberFormat="0" applyFill="0" applyBorder="0" applyAlignment="0" applyProtection="0"/>
    <xf numFmtId="0" fontId="56" fillId="0" borderId="0" applyNumberFormat="0" applyFill="0" applyBorder="0" applyAlignment="0" applyProtection="0"/>
    <xf numFmtId="0" fontId="13" fillId="0" borderId="0" applyFont="0" applyFill="0" applyBorder="0" applyAlignment="0" applyProtection="0"/>
    <xf numFmtId="0" fontId="98" fillId="0" borderId="1" applyNumberFormat="0" applyFont="0" applyFill="0" applyAlignment="0" applyProtection="0"/>
    <xf numFmtId="0" fontId="98" fillId="0" borderId="1" applyNumberFormat="0" applyFont="0" applyFill="0" applyAlignment="0" applyProtection="0"/>
    <xf numFmtId="0" fontId="155" fillId="0" borderId="63" applyNumberFormat="0" applyFill="0" applyAlignment="0" applyProtection="0"/>
    <xf numFmtId="0" fontId="13" fillId="0" borderId="0" applyFont="0" applyFill="0" applyBorder="0" applyAlignment="0" applyProtection="0"/>
    <xf numFmtId="0" fontId="98" fillId="0" borderId="1" applyNumberFormat="0" applyFont="0" applyFill="0" applyAlignment="0" applyProtection="0"/>
    <xf numFmtId="0" fontId="98" fillId="0" borderId="1" applyNumberFormat="0" applyFont="0" applyFill="0" applyAlignment="0" applyProtection="0"/>
    <xf numFmtId="0" fontId="98" fillId="0" borderId="1" applyNumberFormat="0" applyFont="0" applyFill="0" applyAlignment="0" applyProtection="0"/>
    <xf numFmtId="0" fontId="57"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56" fillId="0" borderId="0" applyNumberFormat="0" applyFill="0" applyBorder="0" applyAlignment="0" applyProtection="0"/>
    <xf numFmtId="0" fontId="57" fillId="0" borderId="0" applyNumberFormat="0" applyFill="0" applyBorder="0" applyAlignment="0" applyProtection="0"/>
    <xf numFmtId="0" fontId="108" fillId="0" borderId="0" applyNumberFormat="0" applyFill="0" applyBorder="0" applyAlignment="0" applyProtection="0"/>
    <xf numFmtId="0" fontId="13" fillId="0" borderId="0"/>
    <xf numFmtId="172" fontId="6" fillId="0" borderId="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3" fontId="13" fillId="0" borderId="0"/>
    <xf numFmtId="3" fontId="13" fillId="0" borderId="0"/>
    <xf numFmtId="0" fontId="4" fillId="0" borderId="0"/>
    <xf numFmtId="43" fontId="13"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60" borderId="61" applyNumberFormat="0" applyFont="0" applyAlignment="0" applyProtection="0"/>
    <xf numFmtId="0" fontId="3" fillId="30" borderId="0" applyNumberFormat="0" applyBorder="0" applyAlignment="0" applyProtection="0"/>
    <xf numFmtId="0" fontId="3" fillId="36" borderId="0" applyNumberFormat="0" applyBorder="0" applyAlignment="0" applyProtection="0"/>
    <xf numFmtId="0" fontId="3" fillId="31" borderId="0" applyNumberFormat="0" applyBorder="0" applyAlignment="0" applyProtection="0"/>
    <xf numFmtId="0" fontId="3" fillId="37" borderId="0" applyNumberFormat="0" applyBorder="0" applyAlignment="0" applyProtection="0"/>
    <xf numFmtId="0" fontId="3" fillId="32" borderId="0" applyNumberFormat="0" applyBorder="0" applyAlignment="0" applyProtection="0"/>
    <xf numFmtId="0" fontId="3" fillId="38" borderId="0" applyNumberFormat="0" applyBorder="0" applyAlignment="0" applyProtection="0"/>
    <xf numFmtId="0" fontId="3" fillId="33" borderId="0" applyNumberFormat="0" applyBorder="0" applyAlignment="0" applyProtection="0"/>
    <xf numFmtId="0" fontId="3" fillId="39" borderId="0" applyNumberFormat="0" applyBorder="0" applyAlignment="0" applyProtection="0"/>
    <xf numFmtId="0" fontId="3" fillId="34" borderId="0" applyNumberFormat="0" applyBorder="0" applyAlignment="0" applyProtection="0"/>
    <xf numFmtId="0" fontId="3" fillId="40" borderId="0" applyNumberFormat="0" applyBorder="0" applyAlignment="0" applyProtection="0"/>
    <xf numFmtId="0" fontId="3" fillId="35" borderId="0" applyNumberFormat="0" applyBorder="0" applyAlignment="0" applyProtection="0"/>
    <xf numFmtId="0" fontId="3" fillId="41" borderId="0" applyNumberFormat="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37" fontId="166" fillId="0" borderId="0"/>
    <xf numFmtId="8" fontId="25" fillId="0" borderId="0" applyFont="0" applyFill="0" applyBorder="0" applyAlignment="0" applyProtection="0"/>
    <xf numFmtId="9" fontId="25" fillId="0" borderId="0" applyFont="0" applyFill="0" applyBorder="0" applyAlignment="0" applyProtection="0"/>
    <xf numFmtId="0" fontId="5" fillId="0" borderId="0"/>
    <xf numFmtId="0" fontId="3" fillId="0" borderId="0"/>
    <xf numFmtId="0" fontId="5"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92" fillId="20" borderId="0" applyNumberFormat="0" applyBorder="0" applyAlignment="0" applyProtection="0"/>
    <xf numFmtId="0" fontId="92" fillId="20" borderId="0" applyNumberFormat="0" applyBorder="0" applyAlignment="0" applyProtection="0"/>
    <xf numFmtId="0" fontId="92" fillId="20" borderId="0" applyNumberFormat="0" applyBorder="0" applyAlignment="0" applyProtection="0"/>
    <xf numFmtId="0" fontId="92" fillId="20" borderId="0" applyNumberFormat="0" applyBorder="0" applyAlignment="0" applyProtection="0"/>
    <xf numFmtId="0" fontId="92" fillId="2" borderId="0" applyNumberFormat="0" applyBorder="0" applyAlignment="0" applyProtection="0"/>
    <xf numFmtId="0" fontId="92" fillId="2" borderId="0" applyNumberFormat="0" applyBorder="0" applyAlignment="0" applyProtection="0"/>
    <xf numFmtId="0" fontId="92" fillId="2" borderId="0" applyNumberFormat="0" applyBorder="0" applyAlignment="0" applyProtection="0"/>
    <xf numFmtId="0" fontId="92" fillId="2" borderId="0" applyNumberFormat="0" applyBorder="0" applyAlignment="0" applyProtection="0"/>
    <xf numFmtId="0" fontId="167" fillId="2" borderId="0" applyNumberFormat="0" applyBorder="0" applyAlignment="0" applyProtection="0"/>
    <xf numFmtId="0" fontId="92" fillId="3" borderId="0" applyNumberFormat="0" applyBorder="0" applyAlignment="0" applyProtection="0"/>
    <xf numFmtId="0" fontId="92" fillId="3" borderId="0" applyNumberFormat="0" applyBorder="0" applyAlignment="0" applyProtection="0"/>
    <xf numFmtId="0" fontId="167" fillId="3" borderId="0" applyNumberFormat="0" applyBorder="0" applyAlignment="0" applyProtection="0"/>
    <xf numFmtId="0" fontId="92" fillId="23" borderId="0" applyNumberFormat="0" applyBorder="0" applyAlignment="0" applyProtection="0"/>
    <xf numFmtId="0" fontId="92" fillId="23" borderId="0" applyNumberFormat="0" applyBorder="0" applyAlignment="0" applyProtection="0"/>
    <xf numFmtId="0" fontId="92" fillId="23" borderId="0" applyNumberFormat="0" applyBorder="0" applyAlignment="0" applyProtection="0"/>
    <xf numFmtId="0" fontId="92" fillId="23" borderId="0" applyNumberFormat="0" applyBorder="0" applyAlignment="0" applyProtection="0"/>
    <xf numFmtId="0" fontId="92" fillId="4" borderId="0" applyNumberFormat="0" applyBorder="0" applyAlignment="0" applyProtection="0"/>
    <xf numFmtId="0" fontId="92" fillId="4" borderId="0" applyNumberFormat="0" applyBorder="0" applyAlignment="0" applyProtection="0"/>
    <xf numFmtId="0" fontId="92" fillId="4" borderId="0" applyNumberFormat="0" applyBorder="0" applyAlignment="0" applyProtection="0"/>
    <xf numFmtId="0" fontId="92" fillId="4" borderId="0" applyNumberFormat="0" applyBorder="0" applyAlignment="0" applyProtection="0"/>
    <xf numFmtId="0" fontId="167" fillId="4" borderId="0" applyNumberFormat="0" applyBorder="0" applyAlignment="0" applyProtection="0"/>
    <xf numFmtId="0" fontId="92" fillId="20" borderId="0" applyNumberFormat="0" applyBorder="0" applyAlignment="0" applyProtection="0"/>
    <xf numFmtId="0" fontId="92" fillId="20" borderId="0" applyNumberFormat="0" applyBorder="0" applyAlignment="0" applyProtection="0"/>
    <xf numFmtId="0" fontId="92" fillId="20" borderId="0" applyNumberFormat="0" applyBorder="0" applyAlignment="0" applyProtection="0"/>
    <xf numFmtId="0" fontId="92" fillId="20" borderId="0" applyNumberFormat="0" applyBorder="0" applyAlignment="0" applyProtection="0"/>
    <xf numFmtId="0" fontId="92" fillId="5" borderId="0" applyNumberFormat="0" applyBorder="0" applyAlignment="0" applyProtection="0"/>
    <xf numFmtId="0" fontId="92" fillId="5" borderId="0" applyNumberFormat="0" applyBorder="0" applyAlignment="0" applyProtection="0"/>
    <xf numFmtId="0" fontId="92" fillId="5" borderId="0" applyNumberFormat="0" applyBorder="0" applyAlignment="0" applyProtection="0"/>
    <xf numFmtId="0" fontId="92" fillId="5" borderId="0" applyNumberFormat="0" applyBorder="0" applyAlignment="0" applyProtection="0"/>
    <xf numFmtId="0" fontId="167" fillId="5"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167" fillId="6" borderId="0" applyNumberFormat="0" applyBorder="0" applyAlignment="0" applyProtection="0"/>
    <xf numFmtId="0" fontId="92" fillId="7" borderId="0" applyNumberFormat="0" applyBorder="0" applyAlignment="0" applyProtection="0"/>
    <xf numFmtId="0" fontId="92" fillId="7" borderId="0" applyNumberFormat="0" applyBorder="0" applyAlignment="0" applyProtection="0"/>
    <xf numFmtId="0" fontId="167" fillId="7" borderId="0" applyNumberFormat="0" applyBorder="0" applyAlignment="0" applyProtection="0"/>
    <xf numFmtId="0" fontId="92" fillId="63" borderId="0" applyNumberFormat="0" applyBorder="0" applyAlignment="0" applyProtection="0"/>
    <xf numFmtId="0" fontId="92" fillId="63" borderId="0" applyNumberFormat="0" applyBorder="0" applyAlignment="0" applyProtection="0"/>
    <xf numFmtId="0" fontId="92" fillId="63" borderId="0" applyNumberFormat="0" applyBorder="0" applyAlignment="0" applyProtection="0"/>
    <xf numFmtId="0" fontId="92" fillId="63" borderId="0" applyNumberFormat="0" applyBorder="0" applyAlignment="0" applyProtection="0"/>
    <xf numFmtId="0" fontId="92" fillId="8" borderId="0" applyNumberFormat="0" applyBorder="0" applyAlignment="0" applyProtection="0"/>
    <xf numFmtId="0" fontId="92" fillId="8" borderId="0" applyNumberFormat="0" applyBorder="0" applyAlignment="0" applyProtection="0"/>
    <xf numFmtId="0" fontId="92" fillId="8" borderId="0" applyNumberFormat="0" applyBorder="0" applyAlignment="0" applyProtection="0"/>
    <xf numFmtId="0" fontId="92" fillId="8" borderId="0" applyNumberFormat="0" applyBorder="0" applyAlignment="0" applyProtection="0"/>
    <xf numFmtId="0" fontId="167" fillId="8" borderId="0" applyNumberFormat="0" applyBorder="0" applyAlignment="0" applyProtection="0"/>
    <xf numFmtId="0" fontId="92" fillId="9" borderId="0" applyNumberFormat="0" applyBorder="0" applyAlignment="0" applyProtection="0"/>
    <xf numFmtId="0" fontId="92" fillId="9" borderId="0" applyNumberFormat="0" applyBorder="0" applyAlignment="0" applyProtection="0"/>
    <xf numFmtId="0" fontId="167" fillId="9" borderId="0" applyNumberFormat="0" applyBorder="0" applyAlignment="0" applyProtection="0"/>
    <xf numFmtId="0" fontId="92" fillId="22" borderId="0" applyNumberFormat="0" applyBorder="0" applyAlignment="0" applyProtection="0"/>
    <xf numFmtId="0" fontId="92" fillId="22" borderId="0" applyNumberFormat="0" applyBorder="0" applyAlignment="0" applyProtection="0"/>
    <xf numFmtId="0" fontId="92" fillId="22" borderId="0" applyNumberFormat="0" applyBorder="0" applyAlignment="0" applyProtection="0"/>
    <xf numFmtId="0" fontId="92" fillId="22" borderId="0" applyNumberFormat="0" applyBorder="0" applyAlignment="0" applyProtection="0"/>
    <xf numFmtId="0" fontId="92" fillId="10" borderId="0" applyNumberFormat="0" applyBorder="0" applyAlignment="0" applyProtection="0"/>
    <xf numFmtId="0" fontId="92" fillId="10" borderId="0" applyNumberFormat="0" applyBorder="0" applyAlignment="0" applyProtection="0"/>
    <xf numFmtId="0" fontId="92" fillId="10" borderId="0" applyNumberFormat="0" applyBorder="0" applyAlignment="0" applyProtection="0"/>
    <xf numFmtId="0" fontId="92" fillId="10" borderId="0" applyNumberFormat="0" applyBorder="0" applyAlignment="0" applyProtection="0"/>
    <xf numFmtId="0" fontId="167" fillId="10" borderId="0" applyNumberFormat="0" applyBorder="0" applyAlignment="0" applyProtection="0"/>
    <xf numFmtId="0" fontId="92" fillId="63" borderId="0" applyNumberFormat="0" applyBorder="0" applyAlignment="0" applyProtection="0"/>
    <xf numFmtId="0" fontId="92" fillId="63" borderId="0" applyNumberFormat="0" applyBorder="0" applyAlignment="0" applyProtection="0"/>
    <xf numFmtId="0" fontId="92" fillId="63" borderId="0" applyNumberFormat="0" applyBorder="0" applyAlignment="0" applyProtection="0"/>
    <xf numFmtId="0" fontId="92" fillId="63" borderId="0" applyNumberFormat="0" applyBorder="0" applyAlignment="0" applyProtection="0"/>
    <xf numFmtId="0" fontId="92" fillId="5" borderId="0" applyNumberFormat="0" applyBorder="0" applyAlignment="0" applyProtection="0"/>
    <xf numFmtId="0" fontId="92" fillId="5" borderId="0" applyNumberFormat="0" applyBorder="0" applyAlignment="0" applyProtection="0"/>
    <xf numFmtId="0" fontId="92" fillId="5" borderId="0" applyNumberFormat="0" applyBorder="0" applyAlignment="0" applyProtection="0"/>
    <xf numFmtId="0" fontId="92" fillId="5" borderId="0" applyNumberFormat="0" applyBorder="0" applyAlignment="0" applyProtection="0"/>
    <xf numFmtId="0" fontId="167" fillId="5" borderId="0" applyNumberFormat="0" applyBorder="0" applyAlignment="0" applyProtection="0"/>
    <xf numFmtId="0" fontId="92" fillId="8" borderId="0" applyNumberFormat="0" applyBorder="0" applyAlignment="0" applyProtection="0"/>
    <xf numFmtId="0" fontId="92" fillId="8" borderId="0" applyNumberFormat="0" applyBorder="0" applyAlignment="0" applyProtection="0"/>
    <xf numFmtId="0" fontId="167" fillId="8" borderId="0" applyNumberFormat="0" applyBorder="0" applyAlignment="0" applyProtection="0"/>
    <xf numFmtId="0" fontId="92" fillId="7" borderId="0" applyNumberFormat="0" applyBorder="0" applyAlignment="0" applyProtection="0"/>
    <xf numFmtId="0" fontId="92" fillId="7" borderId="0" applyNumberFormat="0" applyBorder="0" applyAlignment="0" applyProtection="0"/>
    <xf numFmtId="0" fontId="92" fillId="7" borderId="0" applyNumberFormat="0" applyBorder="0" applyAlignment="0" applyProtection="0"/>
    <xf numFmtId="0" fontId="92" fillId="7" borderId="0" applyNumberFormat="0" applyBorder="0" applyAlignment="0" applyProtection="0"/>
    <xf numFmtId="0" fontId="92" fillId="11" borderId="0" applyNumberFormat="0" applyBorder="0" applyAlignment="0" applyProtection="0"/>
    <xf numFmtId="0" fontId="92" fillId="11" borderId="0" applyNumberFormat="0" applyBorder="0" applyAlignment="0" applyProtection="0"/>
    <xf numFmtId="0" fontId="92" fillId="11" borderId="0" applyNumberFormat="0" applyBorder="0" applyAlignment="0" applyProtection="0"/>
    <xf numFmtId="0" fontId="92" fillId="11" borderId="0" applyNumberFormat="0" applyBorder="0" applyAlignment="0" applyProtection="0"/>
    <xf numFmtId="0" fontId="167" fillId="11" borderId="0" applyNumberFormat="0" applyBorder="0" applyAlignment="0" applyProtection="0"/>
    <xf numFmtId="0" fontId="93" fillId="14" borderId="0" applyNumberFormat="0" applyBorder="0" applyAlignment="0" applyProtection="0"/>
    <xf numFmtId="0" fontId="93" fillId="12" borderId="0" applyNumberFormat="0" applyBorder="0" applyAlignment="0" applyProtection="0"/>
    <xf numFmtId="0" fontId="168" fillId="12" borderId="0" applyNumberFormat="0" applyBorder="0" applyAlignment="0" applyProtection="0"/>
    <xf numFmtId="0" fontId="168" fillId="9" borderId="0" applyNumberFormat="0" applyBorder="0" applyAlignment="0" applyProtection="0"/>
    <xf numFmtId="0" fontId="93" fillId="22" borderId="0" applyNumberFormat="0" applyBorder="0" applyAlignment="0" applyProtection="0"/>
    <xf numFmtId="0" fontId="93" fillId="10" borderId="0" applyNumberFormat="0" applyBorder="0" applyAlignment="0" applyProtection="0"/>
    <xf numFmtId="0" fontId="168" fillId="10" borderId="0" applyNumberFormat="0" applyBorder="0" applyAlignment="0" applyProtection="0"/>
    <xf numFmtId="0" fontId="93" fillId="63" borderId="0" applyNumberFormat="0" applyBorder="0" applyAlignment="0" applyProtection="0"/>
    <xf numFmtId="0" fontId="93" fillId="13"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93" fillId="9" borderId="0" applyNumberFormat="0" applyBorder="0" applyAlignment="0" applyProtection="0"/>
    <xf numFmtId="0" fontId="93" fillId="15" borderId="0" applyNumberFormat="0" applyBorder="0" applyAlignment="0" applyProtection="0"/>
    <xf numFmtId="0" fontId="168" fillId="15" borderId="0" applyNumberFormat="0" applyBorder="0" applyAlignment="0" applyProtection="0"/>
    <xf numFmtId="0" fontId="93" fillId="14" borderId="0" applyNumberFormat="0" applyBorder="0" applyAlignment="0" applyProtection="0"/>
    <xf numFmtId="0" fontId="93" fillId="16" borderId="0" applyNumberFormat="0" applyBorder="0" applyAlignment="0" applyProtection="0"/>
    <xf numFmtId="0" fontId="168" fillId="16" borderId="0" applyNumberFormat="0" applyBorder="0" applyAlignment="0" applyProtection="0"/>
    <xf numFmtId="0" fontId="168" fillId="17" borderId="0" applyNumberFormat="0" applyBorder="0" applyAlignment="0" applyProtection="0"/>
    <xf numFmtId="0" fontId="168" fillId="18" borderId="0" applyNumberFormat="0" applyBorder="0" applyAlignment="0" applyProtection="0"/>
    <xf numFmtId="0" fontId="93" fillId="64" borderId="0" applyNumberFormat="0" applyBorder="0" applyAlignment="0" applyProtection="0"/>
    <xf numFmtId="0" fontId="93" fillId="13"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19" borderId="0" applyNumberFormat="0" applyBorder="0" applyAlignment="0" applyProtection="0"/>
    <xf numFmtId="0" fontId="94" fillId="65" borderId="0" applyNumberFormat="0" applyBorder="0" applyAlignment="0" applyProtection="0"/>
    <xf numFmtId="0" fontId="94" fillId="3" borderId="0" applyNumberFormat="0" applyBorder="0" applyAlignment="0" applyProtection="0"/>
    <xf numFmtId="0" fontId="169" fillId="3" borderId="0" applyNumberFormat="0" applyBorder="0" applyAlignment="0" applyProtection="0"/>
    <xf numFmtId="199" fontId="166" fillId="0" borderId="0" applyNumberFormat="0" applyFont="0" applyAlignment="0" applyProtection="0"/>
    <xf numFmtId="0" fontId="170" fillId="20" borderId="3" applyNumberFormat="0" applyAlignment="0" applyProtection="0"/>
    <xf numFmtId="0" fontId="96" fillId="63" borderId="4" applyNumberFormat="0" applyAlignment="0" applyProtection="0"/>
    <xf numFmtId="0" fontId="96" fillId="21" borderId="4" applyNumberFormat="0" applyAlignment="0" applyProtection="0"/>
    <xf numFmtId="0" fontId="171" fillId="21" borderId="4" applyNumberFormat="0" applyAlignment="0" applyProtection="0"/>
    <xf numFmtId="41" fontId="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3" fontId="5"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8" fontId="2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92"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0" fontId="172" fillId="0" borderId="0" applyNumberFormat="0" applyFill="0" applyBorder="0" applyAlignment="0" applyProtection="0"/>
    <xf numFmtId="2" fontId="5" fillId="0" borderId="0" applyFont="0" applyFill="0" applyBorder="0" applyAlignment="0" applyProtection="0"/>
    <xf numFmtId="0" fontId="173" fillId="4" borderId="0" applyNumberFormat="0" applyBorder="0" applyAlignment="0" applyProtection="0"/>
    <xf numFmtId="0" fontId="174" fillId="0" borderId="70" applyNumberFormat="0" applyFill="0" applyAlignment="0" applyProtection="0"/>
    <xf numFmtId="0" fontId="175" fillId="0" borderId="71" applyNumberFormat="0" applyFill="0" applyAlignment="0" applyProtection="0"/>
    <xf numFmtId="0" fontId="24" fillId="0" borderId="0" applyFont="0" applyFill="0" applyBorder="0" applyAlignment="0" applyProtection="0"/>
    <xf numFmtId="0" fontId="176" fillId="0" borderId="72" applyNumberFormat="0" applyFill="0" applyAlignment="0" applyProtection="0"/>
    <xf numFmtId="0" fontId="177" fillId="0" borderId="73" applyNumberFormat="0" applyFill="0" applyAlignment="0" applyProtection="0"/>
    <xf numFmtId="0" fontId="9" fillId="0" borderId="0" applyFont="0" applyFill="0" applyBorder="0" applyAlignment="0" applyProtection="0"/>
    <xf numFmtId="0" fontId="178" fillId="0" borderId="74" applyNumberFormat="0" applyFill="0" applyAlignment="0" applyProtection="0"/>
    <xf numFmtId="0" fontId="103" fillId="0" borderId="5" applyNumberFormat="0" applyFill="0" applyAlignment="0" applyProtection="0"/>
    <xf numFmtId="0" fontId="179" fillId="0" borderId="5" applyNumberFormat="0" applyFill="0" applyAlignment="0" applyProtection="0"/>
    <xf numFmtId="0" fontId="178" fillId="0" borderId="0" applyNumberFormat="0" applyFill="0" applyBorder="0" applyAlignment="0" applyProtection="0"/>
    <xf numFmtId="0" fontId="103" fillId="0" borderId="0" applyNumberFormat="0" applyFill="0" applyBorder="0" applyAlignment="0" applyProtection="0"/>
    <xf numFmtId="0" fontId="179" fillId="0" borderId="0" applyNumberFormat="0" applyFill="0" applyBorder="0" applyAlignment="0" applyProtection="0"/>
    <xf numFmtId="0" fontId="180" fillId="0" borderId="0" applyNumberFormat="0" applyFill="0" applyBorder="0" applyAlignment="0" applyProtection="0">
      <alignment vertical="top"/>
      <protection locked="0"/>
    </xf>
    <xf numFmtId="0" fontId="181" fillId="0" borderId="0" applyNumberFormat="0" applyFill="0" applyBorder="0" applyAlignment="0" applyProtection="0">
      <alignment vertical="top"/>
      <protection locked="0"/>
    </xf>
    <xf numFmtId="0" fontId="182" fillId="0" borderId="0" applyNumberFormat="0" applyFill="0" applyBorder="0" applyAlignment="0" applyProtection="0">
      <alignment vertical="top"/>
      <protection locked="0"/>
    </xf>
    <xf numFmtId="0" fontId="183" fillId="7" borderId="3" applyNumberFormat="0" applyAlignment="0" applyProtection="0"/>
    <xf numFmtId="0" fontId="184" fillId="0" borderId="7" applyNumberFormat="0" applyFill="0" applyAlignment="0" applyProtection="0"/>
    <xf numFmtId="0" fontId="185" fillId="22" borderId="0" applyNumberFormat="0" applyBorder="0" applyAlignment="0" applyProtection="0"/>
    <xf numFmtId="37" fontId="166" fillId="0" borderId="0"/>
    <xf numFmtId="37" fontId="166" fillId="0" borderId="0"/>
    <xf numFmtId="37" fontId="166" fillId="0" borderId="0"/>
    <xf numFmtId="37" fontId="166" fillId="0" borderId="0"/>
    <xf numFmtId="37" fontId="166" fillId="0" borderId="0"/>
    <xf numFmtId="37" fontId="166" fillId="0" borderId="0"/>
    <xf numFmtId="0" fontId="25" fillId="0" borderId="0"/>
    <xf numFmtId="0" fontId="3" fillId="0" borderId="0"/>
    <xf numFmtId="37" fontId="166" fillId="0" borderId="0"/>
    <xf numFmtId="0" fontId="5" fillId="0" borderId="0"/>
    <xf numFmtId="37" fontId="166" fillId="0" borderId="0"/>
    <xf numFmtId="0" fontId="3"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199" fontId="166" fillId="0" borderId="0"/>
    <xf numFmtId="37" fontId="166" fillId="0" borderId="0"/>
    <xf numFmtId="0" fontId="3" fillId="0" borderId="0"/>
    <xf numFmtId="0" fontId="5" fillId="0" borderId="0"/>
    <xf numFmtId="0" fontId="5" fillId="23" borderId="3" applyNumberFormat="0" applyFont="0" applyAlignment="0" applyProtection="0"/>
    <xf numFmtId="0" fontId="5" fillId="23" borderId="3"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3" fillId="60" borderId="61" applyNumberFormat="0" applyFont="0" applyAlignment="0" applyProtection="0"/>
    <xf numFmtId="0" fontId="167" fillId="23" borderId="8" applyNumberFormat="0" applyFont="0" applyAlignment="0" applyProtection="0"/>
    <xf numFmtId="199" fontId="60" fillId="0" borderId="0" applyProtection="0"/>
    <xf numFmtId="0" fontId="186" fillId="20" borderId="9"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43" fontId="3" fillId="0" borderId="0" applyFont="0" applyFill="0" applyBorder="0" applyAlignment="0" applyProtection="0"/>
    <xf numFmtId="15" fontId="25" fillId="0" borderId="0" applyFont="0" applyFill="0" applyBorder="0" applyAlignment="0" applyProtection="0"/>
    <xf numFmtId="4" fontId="25" fillId="0" borderId="0" applyFont="0" applyFill="0" applyBorder="0" applyAlignment="0" applyProtection="0"/>
    <xf numFmtId="0" fontId="26" fillId="0" borderId="6">
      <alignment horizontal="center"/>
    </xf>
    <xf numFmtId="3" fontId="25" fillId="0" borderId="0" applyFont="0" applyFill="0" applyBorder="0" applyAlignment="0" applyProtection="0"/>
    <xf numFmtId="0" fontId="25" fillId="24" borderId="0" applyNumberFormat="0" applyFont="0" applyBorder="0" applyAlignment="0" applyProtection="0"/>
    <xf numFmtId="0" fontId="187" fillId="0" borderId="0" applyNumberFormat="0" applyFill="0" applyBorder="0" applyAlignment="0" applyProtection="0"/>
    <xf numFmtId="0" fontId="56" fillId="0" borderId="0" applyNumberFormat="0" applyFill="0" applyBorder="0" applyAlignment="0" applyProtection="0"/>
    <xf numFmtId="0" fontId="188" fillId="0" borderId="75" applyNumberFormat="0" applyFill="0" applyAlignment="0" applyProtection="0"/>
    <xf numFmtId="0" fontId="188" fillId="0" borderId="76" applyNumberFormat="0" applyFill="0" applyAlignment="0" applyProtection="0"/>
    <xf numFmtId="0" fontId="5" fillId="0" borderId="0" applyFont="0" applyFill="0" applyBorder="0" applyAlignment="0" applyProtection="0"/>
    <xf numFmtId="0" fontId="189" fillId="0" borderId="0" applyNumberFormat="0" applyFill="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3" borderId="0" applyNumberFormat="0" applyBorder="0" applyAlignment="0" applyProtection="0"/>
    <xf numFmtId="0" fontId="5" fillId="0" borderId="0" applyFont="0" applyAlignment="0"/>
    <xf numFmtId="0" fontId="5" fillId="0" borderId="0" applyNumberFormat="0" applyFont="0" applyAlignment="0"/>
    <xf numFmtId="172" fontId="5" fillId="0" borderId="0" applyFill="0"/>
    <xf numFmtId="0" fontId="5" fillId="0" borderId="0" applyFill="0">
      <alignment horizontal="center" vertical="center" wrapText="1"/>
    </xf>
    <xf numFmtId="0" fontId="41" fillId="21" borderId="4" applyNumberFormat="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2" fillId="0" borderId="0" applyNumberFormat="0" applyFill="0" applyBorder="0" applyAlignment="0" applyProtection="0"/>
    <xf numFmtId="0" fontId="43" fillId="4" borderId="0" applyNumberFormat="0" applyBorder="0" applyAlignment="0" applyProtection="0"/>
    <xf numFmtId="0" fontId="44" fillId="0" borderId="5" applyNumberFormat="0" applyFill="0" applyAlignment="0" applyProtection="0"/>
    <xf numFmtId="0" fontId="44" fillId="0" borderId="0" applyNumberFormat="0" applyFill="0" applyBorder="0" applyAlignment="0" applyProtection="0"/>
    <xf numFmtId="0" fontId="47" fillId="7" borderId="3" applyNumberFormat="0" applyAlignment="0" applyProtection="0"/>
    <xf numFmtId="0" fontId="48" fillId="0" borderId="7" applyNumberFormat="0" applyFill="0" applyAlignment="0" applyProtection="0"/>
    <xf numFmtId="0" fontId="49" fillId="22" borderId="0" applyNumberFormat="0" applyBorder="0" applyAlignment="0" applyProtection="0"/>
    <xf numFmtId="0" fontId="5" fillId="0" borderId="0"/>
    <xf numFmtId="0" fontId="5" fillId="0" borderId="0"/>
    <xf numFmtId="3" fontId="5" fillId="0" borderId="0"/>
    <xf numFmtId="0" fontId="6" fillId="23" borderId="8" applyNumberFormat="0" applyFont="0" applyAlignment="0" applyProtection="0"/>
    <xf numFmtId="0" fontId="50" fillId="20" borderId="9" applyNumberFormat="0" applyAlignment="0" applyProtection="0"/>
    <xf numFmtId="9" fontId="5" fillId="0" borderId="0" applyFont="0" applyFill="0" applyBorder="0" applyAlignment="0" applyProtection="0"/>
    <xf numFmtId="3" fontId="5" fillId="0" borderId="0">
      <alignment horizontal="left" vertical="top"/>
    </xf>
    <xf numFmtId="3" fontId="5" fillId="0" borderId="0">
      <alignment horizontal="right" vertical="top"/>
    </xf>
    <xf numFmtId="0" fontId="5" fillId="0" borderId="0" applyNumberFormat="0" applyFont="0" applyBorder="0" applyAlignment="0"/>
    <xf numFmtId="0" fontId="5" fillId="0" borderId="0" applyNumberFormat="0" applyFont="0" applyFill="0" applyBorder="0" applyAlignment="0"/>
    <xf numFmtId="0" fontId="5" fillId="0" borderId="0" applyNumberFormat="0" applyFont="0" applyBorder="0" applyAlignment="0"/>
    <xf numFmtId="0" fontId="5" fillId="0" borderId="0" applyNumberFormat="0" applyFont="0" applyBorder="0" applyAlignment="0"/>
    <xf numFmtId="0" fontId="5" fillId="0" borderId="0" applyFill="0">
      <alignment horizontal="left" indent="4"/>
    </xf>
    <xf numFmtId="0" fontId="5" fillId="0" borderId="0" applyNumberFormat="0" applyFont="0" applyBorder="0" applyAlignment="0"/>
    <xf numFmtId="0" fontId="5" fillId="0" borderId="0" applyNumberFormat="0" applyFont="0" applyFill="0" applyBorder="0" applyAlignment="0"/>
    <xf numFmtId="0" fontId="57" fillId="0" borderId="0" applyNumberFormat="0" applyFill="0" applyBorder="0" applyAlignment="0" applyProtection="0"/>
    <xf numFmtId="0" fontId="28" fillId="12" borderId="0" applyNumberFormat="0" applyBorder="0" applyAlignment="0" applyProtection="0"/>
    <xf numFmtId="43" fontId="5" fillId="0" borderId="0" applyFont="0" applyFill="0" applyBorder="0" applyAlignment="0" applyProtection="0"/>
    <xf numFmtId="0" fontId="40" fillId="20" borderId="3"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88"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xf numFmtId="43" fontId="5" fillId="0" borderId="0" applyFont="0" applyFill="0" applyBorder="0" applyAlignment="0" applyProtection="0"/>
    <xf numFmtId="9" fontId="5" fillId="0" borderId="0" applyFont="0" applyFill="0" applyBorder="0" applyAlignment="0" applyProtection="0"/>
    <xf numFmtId="0" fontId="2" fillId="0" borderId="0"/>
    <xf numFmtId="44" fontId="205" fillId="0" borderId="0" applyFont="0" applyFill="0" applyBorder="0" applyAlignment="0" applyProtection="0"/>
    <xf numFmtId="43" fontId="205" fillId="0" borderId="0" applyFont="0" applyFill="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5" fillId="0" borderId="0" applyFont="0" applyAlignment="0"/>
    <xf numFmtId="0" fontId="5" fillId="0" borderId="0" applyNumberFormat="0" applyFont="0" applyAlignment="0"/>
    <xf numFmtId="172" fontId="5" fillId="0" borderId="0" applyFill="0"/>
    <xf numFmtId="0" fontId="5" fillId="0" borderId="0" applyFill="0">
      <alignment horizontal="center" vertical="center"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196" fontId="5" fillId="0" borderId="0"/>
    <xf numFmtId="196" fontId="5" fillId="0" borderId="0"/>
    <xf numFmtId="196" fontId="5" fillId="0" borderId="0"/>
    <xf numFmtId="196" fontId="5" fillId="0" borderId="0"/>
    <xf numFmtId="196" fontId="5" fillId="0" borderId="0"/>
    <xf numFmtId="196" fontId="5" fillId="0" borderId="0"/>
    <xf numFmtId="196" fontId="5" fillId="0" borderId="0"/>
    <xf numFmtId="196" fontId="5" fillId="0" borderId="0"/>
    <xf numFmtId="196" fontId="5" fillId="0" borderId="0"/>
    <xf numFmtId="196" fontId="5" fillId="0" borderId="0"/>
    <xf numFmtId="196" fontId="5" fillId="0" borderId="0"/>
    <xf numFmtId="196" fontId="5" fillId="0" borderId="0"/>
    <xf numFmtId="196" fontId="5" fillId="0" borderId="0"/>
    <xf numFmtId="0" fontId="1" fillId="0" borderId="0"/>
    <xf numFmtId="3" fontId="5" fillId="0" borderId="0"/>
    <xf numFmtId="3" fontId="5" fillId="0" borderId="0"/>
    <xf numFmtId="0" fontId="5" fillId="0" borderId="0"/>
    <xf numFmtId="3" fontId="5" fillId="0" borderId="0"/>
    <xf numFmtId="0" fontId="5" fillId="0" borderId="0"/>
    <xf numFmtId="0" fontId="1"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5" fillId="0" borderId="0"/>
    <xf numFmtId="0" fontId="5" fillId="0" borderId="0"/>
    <xf numFmtId="0"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5" fillId="0" borderId="0"/>
    <xf numFmtId="0" fontId="5" fillId="0" borderId="0"/>
    <xf numFmtId="3"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 fontId="5" fillId="0" borderId="0"/>
    <xf numFmtId="3"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3" fontId="5" fillId="0" borderId="0">
      <alignment horizontal="left" vertical="top"/>
    </xf>
    <xf numFmtId="3" fontId="5" fillId="0" borderId="0">
      <alignment horizontal="right" vertical="top"/>
    </xf>
    <xf numFmtId="0" fontId="5" fillId="0" borderId="0" applyNumberFormat="0" applyFont="0" applyBorder="0" applyAlignment="0"/>
    <xf numFmtId="0" fontId="5" fillId="0" borderId="0" applyNumberFormat="0" applyFont="0" applyFill="0" applyBorder="0" applyAlignment="0"/>
    <xf numFmtId="0" fontId="5" fillId="0" borderId="0" applyNumberFormat="0" applyFont="0" applyBorder="0" applyAlignment="0"/>
    <xf numFmtId="0" fontId="5" fillId="0" borderId="0" applyNumberFormat="0" applyFont="0" applyBorder="0" applyAlignment="0"/>
    <xf numFmtId="0" fontId="5" fillId="0" borderId="0" applyFill="0">
      <alignment horizontal="left" indent="4"/>
    </xf>
    <xf numFmtId="0" fontId="5" fillId="0" borderId="0" applyNumberFormat="0" applyFont="0" applyBorder="0" applyAlignment="0"/>
    <xf numFmtId="0" fontId="5" fillId="0" borderId="0" applyNumberFormat="0" applyFont="0" applyFill="0" applyBorder="0" applyAlignment="0"/>
    <xf numFmtId="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3" fontId="5" fillId="0" borderId="0"/>
    <xf numFmtId="3" fontId="5" fillId="0" borderId="0"/>
    <xf numFmtId="0" fontId="1" fillId="0" borderId="0"/>
    <xf numFmtId="43" fontId="5"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60" borderId="61" applyNumberFormat="0" applyFont="0" applyAlignment="0" applyProtection="0"/>
    <xf numFmtId="0" fontId="1" fillId="30"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7" borderId="0" applyNumberFormat="0" applyBorder="0" applyAlignment="0" applyProtection="0"/>
    <xf numFmtId="0" fontId="1" fillId="32" borderId="0" applyNumberFormat="0" applyBorder="0" applyAlignment="0" applyProtection="0"/>
    <xf numFmtId="0" fontId="1" fillId="38" borderId="0" applyNumberFormat="0" applyBorder="0" applyAlignment="0" applyProtection="0"/>
    <xf numFmtId="0" fontId="1" fillId="33" borderId="0" applyNumberFormat="0" applyBorder="0" applyAlignment="0" applyProtection="0"/>
    <xf numFmtId="0" fontId="1" fillId="39" borderId="0" applyNumberFormat="0" applyBorder="0" applyAlignment="0" applyProtection="0"/>
    <xf numFmtId="0" fontId="1" fillId="34" borderId="0" applyNumberFormat="0" applyBorder="0" applyAlignment="0" applyProtection="0"/>
    <xf numFmtId="0" fontId="1" fillId="40" borderId="0" applyNumberFormat="0" applyBorder="0" applyAlignment="0" applyProtection="0"/>
    <xf numFmtId="0" fontId="1" fillId="35" borderId="0" applyNumberFormat="0" applyBorder="0" applyAlignment="0" applyProtection="0"/>
    <xf numFmtId="0" fontId="1" fillId="41"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60" borderId="6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2108">
    <xf numFmtId="0" fontId="0" fillId="0" borderId="0" xfId="0"/>
    <xf numFmtId="0" fontId="13" fillId="0" borderId="0" xfId="881" applyNumberFormat="1" applyFont="1" applyFill="1" applyBorder="1" applyAlignment="1" applyProtection="1"/>
    <xf numFmtId="0" fontId="110" fillId="0" borderId="0" xfId="883" applyFont="1" applyFill="1" applyAlignment="1" applyProtection="1">
      <alignment vertical="top"/>
    </xf>
    <xf numFmtId="0" fontId="110" fillId="0" borderId="0" xfId="883" applyFont="1" applyFill="1" applyProtection="1"/>
    <xf numFmtId="0" fontId="5" fillId="0" borderId="0" xfId="1176" applyFont="1" applyFill="1" applyAlignment="1" applyProtection="1">
      <alignment vertical="top"/>
    </xf>
    <xf numFmtId="0" fontId="5" fillId="0" borderId="0" xfId="1172" applyFont="1" applyAlignment="1" applyProtection="1">
      <alignment vertical="top" wrapText="1"/>
    </xf>
    <xf numFmtId="0" fontId="69" fillId="0" borderId="0" xfId="1177" applyFont="1" applyFill="1" applyProtection="1"/>
    <xf numFmtId="0" fontId="5" fillId="0" borderId="0" xfId="881" applyNumberFormat="1" applyFont="1" applyFill="1" applyBorder="1" applyAlignment="1" applyProtection="1">
      <alignment horizontal="center"/>
    </xf>
    <xf numFmtId="0" fontId="10" fillId="0" borderId="0" xfId="1177" applyFont="1" applyFill="1" applyAlignment="1" applyProtection="1">
      <alignment horizontal="left"/>
    </xf>
    <xf numFmtId="173" fontId="5" fillId="0" borderId="0" xfId="1175" applyNumberFormat="1" applyFont="1" applyFill="1" applyProtection="1"/>
    <xf numFmtId="0" fontId="5" fillId="0" borderId="0" xfId="1177" applyFont="1" applyFill="1" applyProtection="1"/>
    <xf numFmtId="0" fontId="5" fillId="0" borderId="0" xfId="1179" applyFont="1" applyFill="1" applyAlignment="1" applyProtection="1">
      <alignment horizontal="left"/>
    </xf>
    <xf numFmtId="0" fontId="5" fillId="0" borderId="0" xfId="1176" applyFont="1" applyFill="1" applyAlignment="1" applyProtection="1">
      <alignment horizontal="left"/>
    </xf>
    <xf numFmtId="0" fontId="5" fillId="0" borderId="0" xfId="1178" applyFont="1" applyFill="1" applyProtection="1"/>
    <xf numFmtId="0" fontId="5" fillId="0" borderId="0" xfId="1178" applyProtection="1"/>
    <xf numFmtId="10" fontId="5" fillId="0" borderId="0" xfId="1180" applyNumberFormat="1" applyFont="1" applyFill="1" applyBorder="1" applyProtection="1"/>
    <xf numFmtId="10" fontId="10" fillId="0" borderId="0" xfId="1180" applyNumberFormat="1" applyFont="1" applyFill="1" applyBorder="1" applyProtection="1"/>
    <xf numFmtId="0" fontId="10" fillId="0" borderId="0" xfId="1177" applyFont="1" applyFill="1" applyProtection="1"/>
    <xf numFmtId="173" fontId="5" fillId="0" borderId="0" xfId="1180" applyNumberFormat="1" applyFont="1" applyFill="1" applyBorder="1" applyProtection="1"/>
    <xf numFmtId="0" fontId="5" fillId="0" borderId="0" xfId="1177" applyFont="1" applyFill="1" applyAlignment="1" applyProtection="1">
      <alignment horizontal="left"/>
    </xf>
    <xf numFmtId="10" fontId="10" fillId="0" borderId="13" xfId="1180" applyNumberFormat="1" applyFont="1" applyFill="1" applyBorder="1" applyProtection="1"/>
    <xf numFmtId="0" fontId="163" fillId="0" borderId="0" xfId="1178" applyFont="1" applyAlignment="1" applyProtection="1">
      <alignment horizontal="center"/>
    </xf>
    <xf numFmtId="0" fontId="10" fillId="0" borderId="0" xfId="881" applyNumberFormat="1" applyFont="1" applyFill="1" applyBorder="1" applyAlignment="1" applyProtection="1">
      <alignment vertical="center"/>
    </xf>
    <xf numFmtId="0" fontId="165" fillId="0" borderId="0" xfId="1172" applyFont="1" applyProtection="1"/>
    <xf numFmtId="0" fontId="16" fillId="0" borderId="0" xfId="1177" applyFont="1" applyFill="1" applyProtection="1"/>
    <xf numFmtId="0" fontId="16" fillId="0" borderId="0" xfId="1177" applyFont="1" applyProtection="1"/>
    <xf numFmtId="0" fontId="84" fillId="0" borderId="0" xfId="1172" applyFont="1" applyAlignment="1" applyProtection="1"/>
    <xf numFmtId="0" fontId="5" fillId="0" borderId="0" xfId="881" applyNumberFormat="1" applyFont="1" applyFill="1" applyBorder="1" applyAlignment="1" applyProtection="1"/>
    <xf numFmtId="0" fontId="10" fillId="0" borderId="0" xfId="1177" applyFont="1" applyFill="1" applyAlignment="1" applyProtection="1">
      <alignment horizontal="center" wrapText="1"/>
    </xf>
    <xf numFmtId="173" fontId="16" fillId="0" borderId="0" xfId="1177" applyNumberFormat="1" applyFont="1" applyFill="1" applyProtection="1"/>
    <xf numFmtId="0" fontId="5" fillId="0" borderId="0" xfId="1172" applyProtection="1"/>
    <xf numFmtId="0" fontId="5" fillId="0" borderId="0" xfId="1172" applyFont="1" applyProtection="1"/>
    <xf numFmtId="0" fontId="5" fillId="0" borderId="11" xfId="1172" applyFont="1" applyBorder="1" applyProtection="1"/>
    <xf numFmtId="0" fontId="16" fillId="0" borderId="11" xfId="1177" applyFont="1" applyFill="1" applyBorder="1" applyProtection="1"/>
    <xf numFmtId="0" fontId="5" fillId="62" borderId="0" xfId="1177" applyFont="1" applyFill="1" applyAlignment="1" applyProtection="1">
      <alignment horizontal="left"/>
    </xf>
    <xf numFmtId="41" fontId="5" fillId="0" borderId="0" xfId="1180" applyNumberFormat="1" applyFont="1" applyFill="1" applyBorder="1" applyProtection="1"/>
    <xf numFmtId="173" fontId="16" fillId="0" borderId="0" xfId="1177" applyNumberFormat="1" applyFont="1" applyProtection="1"/>
    <xf numFmtId="186" fontId="5" fillId="0" borderId="0" xfId="1175" applyNumberFormat="1" applyFont="1" applyFill="1" applyBorder="1" applyProtection="1"/>
    <xf numFmtId="10" fontId="16" fillId="0" borderId="0" xfId="1180" applyNumberFormat="1" applyFont="1" applyFill="1" applyProtection="1"/>
    <xf numFmtId="173" fontId="5" fillId="0" borderId="0" xfId="1175" applyNumberFormat="1" applyFont="1" applyFill="1" applyBorder="1" applyProtection="1"/>
    <xf numFmtId="173" fontId="10" fillId="0" borderId="13" xfId="1175" applyNumberFormat="1" applyFont="1" applyFill="1" applyBorder="1" applyProtection="1"/>
    <xf numFmtId="0" fontId="69" fillId="0" borderId="0" xfId="1177" applyFont="1" applyFill="1" applyAlignment="1" applyProtection="1">
      <alignment horizontal="left"/>
    </xf>
    <xf numFmtId="0" fontId="16" fillId="0" borderId="0" xfId="1177" applyFont="1" applyFill="1" applyAlignment="1" applyProtection="1">
      <alignment horizontal="left"/>
    </xf>
    <xf numFmtId="41" fontId="70" fillId="0" borderId="0" xfId="1177" applyNumberFormat="1" applyFont="1" applyFill="1" applyProtection="1"/>
    <xf numFmtId="173" fontId="5" fillId="0" borderId="2" xfId="1180" applyNumberFormat="1" applyFont="1" applyFill="1" applyBorder="1" applyProtection="1"/>
    <xf numFmtId="0" fontId="5" fillId="0" borderId="0" xfId="1177" applyFont="1" applyFill="1" applyBorder="1" applyProtection="1"/>
    <xf numFmtId="0" fontId="5" fillId="0" borderId="0" xfId="881" applyNumberFormat="1" applyFont="1" applyFill="1" applyBorder="1" applyAlignment="1" applyProtection="1">
      <alignment horizontal="center" vertical="top"/>
    </xf>
    <xf numFmtId="0" fontId="8" fillId="0" borderId="0" xfId="760" applyFont="1" applyFill="1" applyProtection="1"/>
    <xf numFmtId="0" fontId="8" fillId="0" borderId="0" xfId="1528" applyFont="1" applyFill="1" applyProtection="1"/>
    <xf numFmtId="0" fontId="5" fillId="0" borderId="0" xfId="1178" applyFont="1" applyFill="1" applyAlignment="1" applyProtection="1">
      <alignment wrapText="1"/>
    </xf>
    <xf numFmtId="41" fontId="10" fillId="0" borderId="0" xfId="1177" applyNumberFormat="1" applyFont="1" applyFill="1" applyBorder="1" applyAlignment="1" applyProtection="1">
      <alignment horizontal="center" wrapText="1"/>
    </xf>
    <xf numFmtId="172" fontId="158" fillId="0" borderId="0" xfId="881" applyFont="1" applyFill="1" applyAlignment="1" applyProtection="1"/>
    <xf numFmtId="172" fontId="6" fillId="0" borderId="0" xfId="881" applyFont="1" applyFill="1" applyAlignment="1" applyProtection="1"/>
    <xf numFmtId="172" fontId="8" fillId="0" borderId="0" xfId="881" applyFont="1" applyFill="1" applyAlignment="1" applyProtection="1"/>
    <xf numFmtId="0" fontId="13" fillId="0" borderId="0" xfId="775" applyFont="1" applyFill="1" applyProtection="1"/>
    <xf numFmtId="0" fontId="8" fillId="0" borderId="0" xfId="881" applyNumberFormat="1" applyFont="1" applyFill="1" applyAlignment="1" applyProtection="1">
      <alignment horizontal="right"/>
    </xf>
    <xf numFmtId="0" fontId="8" fillId="0" borderId="0" xfId="275" applyNumberFormat="1" applyFont="1" applyFill="1" applyAlignment="1" applyProtection="1">
      <alignment horizontal="center"/>
    </xf>
    <xf numFmtId="0" fontId="8" fillId="0" borderId="0" xfId="881" applyNumberFormat="1" applyFont="1" applyFill="1" applyAlignment="1" applyProtection="1"/>
    <xf numFmtId="0" fontId="8" fillId="0" borderId="0" xfId="0" applyNumberFormat="1" applyFont="1" applyFill="1" applyAlignment="1" applyProtection="1">
      <alignment horizontal="center"/>
    </xf>
    <xf numFmtId="0" fontId="8" fillId="0" borderId="0" xfId="775" applyFont="1" applyFill="1" applyAlignment="1" applyProtection="1"/>
    <xf numFmtId="0" fontId="8" fillId="0" borderId="0" xfId="881" applyNumberFormat="1" applyFont="1" applyFill="1" applyProtection="1"/>
    <xf numFmtId="3" fontId="8" fillId="0" borderId="0" xfId="881" applyNumberFormat="1" applyFont="1" applyFill="1" applyAlignment="1" applyProtection="1"/>
    <xf numFmtId="3" fontId="8" fillId="0" borderId="0" xfId="775" applyNumberFormat="1" applyFont="1" applyFill="1" applyAlignment="1" applyProtection="1">
      <alignment horizontal="center"/>
    </xf>
    <xf numFmtId="0" fontId="8" fillId="0" borderId="0" xfId="775" applyNumberFormat="1" applyFont="1" applyFill="1" applyAlignment="1" applyProtection="1">
      <alignment horizontal="center"/>
    </xf>
    <xf numFmtId="0" fontId="6" fillId="0" borderId="0" xfId="881" applyNumberFormat="1" applyFont="1" applyFill="1" applyAlignment="1" applyProtection="1">
      <alignment horizontal="center"/>
    </xf>
    <xf numFmtId="0" fontId="8" fillId="0" borderId="0" xfId="881" applyNumberFormat="1" applyFont="1" applyFill="1" applyAlignment="1" applyProtection="1">
      <alignment horizontal="center"/>
    </xf>
    <xf numFmtId="49" fontId="8" fillId="0" borderId="0" xfId="881" applyNumberFormat="1" applyFont="1" applyFill="1" applyAlignment="1" applyProtection="1">
      <alignment horizontal="center"/>
    </xf>
    <xf numFmtId="49" fontId="9" fillId="0" borderId="0" xfId="881" applyNumberFormat="1" applyFont="1" applyFill="1" applyAlignment="1" applyProtection="1">
      <alignment horizontal="center"/>
    </xf>
    <xf numFmtId="49" fontId="8" fillId="0" borderId="0" xfId="881" applyNumberFormat="1" applyFont="1" applyFill="1" applyProtection="1"/>
    <xf numFmtId="0" fontId="13" fillId="0" borderId="0" xfId="775" applyProtection="1"/>
    <xf numFmtId="172" fontId="9" fillId="0" borderId="0" xfId="881" applyFont="1" applyFill="1" applyAlignment="1" applyProtection="1">
      <alignment horizontal="center"/>
    </xf>
    <xf numFmtId="0" fontId="9" fillId="0" borderId="0" xfId="881" applyNumberFormat="1" applyFont="1" applyFill="1" applyAlignment="1" applyProtection="1">
      <alignment horizontal="center"/>
    </xf>
    <xf numFmtId="0" fontId="9" fillId="0" borderId="0" xfId="881" quotePrefix="1" applyNumberFormat="1" applyFont="1" applyFill="1" applyAlignment="1" applyProtection="1">
      <alignment horizontal="center"/>
    </xf>
    <xf numFmtId="0" fontId="6" fillId="0" borderId="6" xfId="881" applyNumberFormat="1" applyFont="1" applyFill="1" applyBorder="1" applyAlignment="1" applyProtection="1">
      <alignment horizontal="center"/>
    </xf>
    <xf numFmtId="0" fontId="8" fillId="0" borderId="0" xfId="881" applyNumberFormat="1" applyFont="1" applyFill="1" applyBorder="1" applyAlignment="1" applyProtection="1">
      <alignment horizontal="center"/>
    </xf>
    <xf numFmtId="0" fontId="6" fillId="0" borderId="0" xfId="881" applyNumberFormat="1" applyFont="1" applyFill="1" applyBorder="1" applyAlignment="1" applyProtection="1">
      <alignment horizontal="center"/>
    </xf>
    <xf numFmtId="0" fontId="76" fillId="0" borderId="0" xfId="881" applyNumberFormat="1" applyFont="1" applyFill="1" applyBorder="1" applyAlignment="1" applyProtection="1">
      <alignment horizontal="left"/>
    </xf>
    <xf numFmtId="0" fontId="8" fillId="0" borderId="0" xfId="775" applyNumberFormat="1" applyFont="1" applyFill="1" applyProtection="1"/>
    <xf numFmtId="173" fontId="8" fillId="0" borderId="0" xfId="275" applyNumberFormat="1" applyFont="1" applyFill="1" applyAlignment="1" applyProtection="1"/>
    <xf numFmtId="170" fontId="8" fillId="0" borderId="0" xfId="881" applyNumberFormat="1" applyFont="1" applyFill="1" applyAlignment="1" applyProtection="1"/>
    <xf numFmtId="172" fontId="30" fillId="0" borderId="0" xfId="881" applyFont="1" applyFill="1" applyAlignment="1" applyProtection="1"/>
    <xf numFmtId="170" fontId="8" fillId="0" borderId="0" xfId="881" applyNumberFormat="1" applyFont="1" applyFill="1" applyProtection="1"/>
    <xf numFmtId="172" fontId="8" fillId="0" borderId="0" xfId="881" applyFont="1" applyFill="1" applyBorder="1" applyAlignment="1" applyProtection="1"/>
    <xf numFmtId="0" fontId="8" fillId="0" borderId="0" xfId="881" applyNumberFormat="1" applyFont="1" applyFill="1" applyBorder="1" applyProtection="1"/>
    <xf numFmtId="170" fontId="8" fillId="0" borderId="0" xfId="881" applyNumberFormat="1" applyFont="1" applyFill="1" applyBorder="1" applyAlignment="1" applyProtection="1"/>
    <xf numFmtId="1" fontId="8" fillId="0" borderId="0" xfId="881" applyNumberFormat="1" applyFont="1" applyFill="1" applyAlignment="1" applyProtection="1">
      <alignment horizontal="center"/>
    </xf>
    <xf numFmtId="170" fontId="8" fillId="0" borderId="2" xfId="881" applyNumberFormat="1" applyFont="1" applyFill="1" applyBorder="1" applyAlignment="1" applyProtection="1"/>
    <xf numFmtId="164" fontId="30" fillId="0" borderId="0" xfId="912" applyNumberFormat="1" applyFont="1" applyFill="1" applyAlignment="1" applyProtection="1">
      <alignment horizontal="center"/>
    </xf>
    <xf numFmtId="173" fontId="8" fillId="0" borderId="11" xfId="275" applyNumberFormat="1" applyFont="1" applyFill="1" applyBorder="1" applyAlignment="1" applyProtection="1"/>
    <xf numFmtId="0" fontId="8" fillId="0" borderId="0" xfId="775" applyNumberFormat="1" applyFont="1" applyFill="1" applyAlignment="1" applyProtection="1">
      <alignment horizontal="right"/>
    </xf>
    <xf numFmtId="173" fontId="8" fillId="0" borderId="0" xfId="275" applyNumberFormat="1" applyFont="1" applyFill="1" applyBorder="1" applyAlignment="1" applyProtection="1"/>
    <xf numFmtId="0" fontId="6" fillId="0" borderId="35" xfId="881" applyNumberFormat="1" applyFont="1" applyFill="1" applyBorder="1" applyAlignment="1" applyProtection="1">
      <alignment horizontal="center"/>
    </xf>
    <xf numFmtId="0" fontId="8" fillId="0" borderId="36" xfId="881" applyNumberFormat="1" applyFont="1" applyFill="1" applyBorder="1" applyAlignment="1" applyProtection="1">
      <alignment horizontal="center"/>
    </xf>
    <xf numFmtId="0" fontId="9" fillId="0" borderId="36" xfId="775" applyNumberFormat="1" applyFont="1" applyFill="1" applyBorder="1" applyProtection="1"/>
    <xf numFmtId="0" fontId="9" fillId="0" borderId="36" xfId="881" applyNumberFormat="1" applyFont="1" applyFill="1" applyBorder="1" applyProtection="1"/>
    <xf numFmtId="172" fontId="9" fillId="0" borderId="36" xfId="881" applyFont="1" applyFill="1" applyBorder="1" applyAlignment="1" applyProtection="1"/>
    <xf numFmtId="1" fontId="9" fillId="0" borderId="36" xfId="881" applyNumberFormat="1" applyFont="1" applyFill="1" applyBorder="1" applyAlignment="1" applyProtection="1">
      <alignment horizontal="center"/>
    </xf>
    <xf numFmtId="173" fontId="9" fillId="0" borderId="36" xfId="275" applyNumberFormat="1" applyFont="1" applyFill="1" applyBorder="1" applyAlignment="1" applyProtection="1"/>
    <xf numFmtId="0" fontId="9" fillId="0" borderId="0" xfId="881" applyNumberFormat="1" applyFont="1" applyFill="1" applyBorder="1" applyProtection="1"/>
    <xf numFmtId="172" fontId="9" fillId="0" borderId="0" xfId="881" applyFont="1" applyFill="1" applyBorder="1" applyAlignment="1" applyProtection="1"/>
    <xf numFmtId="172" fontId="8" fillId="0" borderId="0" xfId="881" applyFont="1" applyFill="1" applyAlignment="1" applyProtection="1">
      <alignment horizontal="center"/>
    </xf>
    <xf numFmtId="0" fontId="9" fillId="0" borderId="0" xfId="775" applyNumberFormat="1" applyFont="1" applyFill="1" applyBorder="1" applyProtection="1"/>
    <xf numFmtId="1" fontId="9" fillId="0" borderId="0" xfId="881" applyNumberFormat="1" applyFont="1" applyFill="1" applyBorder="1" applyAlignment="1" applyProtection="1">
      <alignment horizontal="center"/>
    </xf>
    <xf numFmtId="173" fontId="9" fillId="0" borderId="0" xfId="275" applyNumberFormat="1" applyFont="1" applyFill="1" applyBorder="1" applyAlignment="1" applyProtection="1"/>
    <xf numFmtId="0" fontId="9" fillId="0" borderId="0" xfId="775" applyNumberFormat="1" applyFont="1" applyFill="1" applyProtection="1"/>
    <xf numFmtId="0" fontId="9" fillId="0" borderId="0" xfId="775" applyFont="1" applyFill="1" applyAlignment="1" applyProtection="1">
      <alignment horizontal="left"/>
    </xf>
    <xf numFmtId="43" fontId="9" fillId="0" borderId="0" xfId="275" applyNumberFormat="1" applyFont="1" applyFill="1" applyBorder="1" applyAlignment="1" applyProtection="1"/>
    <xf numFmtId="0" fontId="6" fillId="0" borderId="0" xfId="881" applyNumberFormat="1" applyFont="1" applyFill="1" applyProtection="1"/>
    <xf numFmtId="174" fontId="8" fillId="0" borderId="0" xfId="551" applyNumberFormat="1" applyFont="1" applyFill="1" applyProtection="1"/>
    <xf numFmtId="174" fontId="8" fillId="0" borderId="0" xfId="881" applyNumberFormat="1" applyFont="1" applyFill="1" applyProtection="1"/>
    <xf numFmtId="43" fontId="8" fillId="0" borderId="0" xfId="881" applyNumberFormat="1" applyFont="1" applyFill="1" applyProtection="1"/>
    <xf numFmtId="3" fontId="8" fillId="0" borderId="0" xfId="0" applyNumberFormat="1" applyFont="1" applyFill="1" applyAlignment="1" applyProtection="1">
      <alignment horizontal="center"/>
    </xf>
    <xf numFmtId="170" fontId="20" fillId="27" borderId="0" xfId="881" applyNumberFormat="1" applyFont="1" applyFill="1" applyBorder="1" applyAlignment="1" applyProtection="1"/>
    <xf numFmtId="172" fontId="8" fillId="0" borderId="0" xfId="881" applyFont="1" applyBorder="1" applyAlignment="1" applyProtection="1"/>
    <xf numFmtId="170" fontId="8" fillId="0" borderId="11" xfId="881" applyNumberFormat="1" applyFont="1" applyFill="1" applyBorder="1" applyAlignment="1" applyProtection="1"/>
    <xf numFmtId="170" fontId="20" fillId="27" borderId="11" xfId="881" applyNumberFormat="1" applyFont="1" applyFill="1" applyBorder="1" applyAlignment="1" applyProtection="1"/>
    <xf numFmtId="0" fontId="8" fillId="0" borderId="0" xfId="775" quotePrefix="1" applyNumberFormat="1" applyFont="1" applyFill="1" applyAlignment="1" applyProtection="1">
      <alignment horizontal="left"/>
    </xf>
    <xf numFmtId="173" fontId="78" fillId="0" borderId="0" xfId="275" applyNumberFormat="1" applyFont="1" applyFill="1" applyAlignment="1" applyProtection="1"/>
    <xf numFmtId="0" fontId="8" fillId="0" borderId="35" xfId="775" quotePrefix="1" applyNumberFormat="1" applyFont="1" applyFill="1" applyBorder="1" applyAlignment="1" applyProtection="1">
      <alignment horizontal="left"/>
    </xf>
    <xf numFmtId="0" fontId="8" fillId="0" borderId="36" xfId="775" applyNumberFormat="1" applyFont="1" applyFill="1" applyBorder="1" applyProtection="1"/>
    <xf numFmtId="1" fontId="8" fillId="0" borderId="36" xfId="881" applyNumberFormat="1" applyFont="1" applyFill="1" applyBorder="1" applyAlignment="1" applyProtection="1">
      <alignment horizontal="center"/>
    </xf>
    <xf numFmtId="170" fontId="8" fillId="0" borderId="36" xfId="881" applyNumberFormat="1" applyFont="1" applyFill="1" applyBorder="1" applyAlignment="1" applyProtection="1"/>
    <xf numFmtId="0" fontId="8" fillId="0" borderId="36" xfId="881" applyNumberFormat="1" applyFont="1" applyFill="1" applyBorder="1" applyProtection="1"/>
    <xf numFmtId="0" fontId="13" fillId="0" borderId="36" xfId="775" applyFont="1" applyFill="1" applyBorder="1" applyProtection="1"/>
    <xf numFmtId="170" fontId="8" fillId="0" borderId="37" xfId="881" applyNumberFormat="1" applyFont="1" applyFill="1" applyBorder="1" applyAlignment="1" applyProtection="1"/>
    <xf numFmtId="0" fontId="78" fillId="0" borderId="0" xfId="881" applyNumberFormat="1" applyFont="1" applyFill="1" applyProtection="1"/>
    <xf numFmtId="43" fontId="8" fillId="0" borderId="0" xfId="275" applyFont="1" applyFill="1" applyAlignment="1" applyProtection="1"/>
    <xf numFmtId="0" fontId="8" fillId="0" borderId="0" xfId="775" applyFont="1" applyFill="1" applyProtection="1"/>
    <xf numFmtId="0" fontId="78" fillId="0" borderId="0" xfId="775" applyNumberFormat="1" applyFont="1" applyFill="1" applyProtection="1"/>
    <xf numFmtId="172" fontId="78" fillId="0" borderId="0" xfId="881" applyFont="1" applyFill="1" applyAlignment="1" applyProtection="1"/>
    <xf numFmtId="0" fontId="6" fillId="0" borderId="0" xfId="775" applyFont="1" applyFill="1" applyProtection="1"/>
    <xf numFmtId="1" fontId="158" fillId="0" borderId="0" xfId="775" applyNumberFormat="1" applyFont="1" applyFill="1" applyAlignment="1" applyProtection="1"/>
    <xf numFmtId="0" fontId="0" fillId="0" borderId="0" xfId="0" applyProtection="1"/>
    <xf numFmtId="0" fontId="8" fillId="0" borderId="0" xfId="0" applyNumberFormat="1" applyFont="1" applyAlignment="1" applyProtection="1">
      <alignment horizontal="center"/>
    </xf>
    <xf numFmtId="3" fontId="8" fillId="0" borderId="0" xfId="0" quotePrefix="1" applyNumberFormat="1" applyFont="1" applyFill="1" applyAlignment="1" applyProtection="1">
      <alignment horizontal="center"/>
    </xf>
    <xf numFmtId="49" fontId="136" fillId="0" borderId="0" xfId="881" applyNumberFormat="1" applyFont="1" applyFill="1" applyAlignment="1" applyProtection="1">
      <alignment horizontal="center"/>
    </xf>
    <xf numFmtId="3" fontId="7" fillId="0" borderId="0" xfId="0" applyNumberFormat="1" applyFont="1" applyAlignment="1" applyProtection="1">
      <alignment horizontal="center"/>
    </xf>
    <xf numFmtId="3" fontId="7" fillId="0" borderId="0" xfId="0" quotePrefix="1" applyNumberFormat="1" applyFont="1" applyAlignment="1" applyProtection="1">
      <alignment horizontal="center"/>
    </xf>
    <xf numFmtId="0" fontId="0" fillId="0" borderId="0" xfId="0" applyFill="1" applyProtection="1"/>
    <xf numFmtId="0" fontId="0" fillId="0" borderId="0" xfId="0" applyAlignment="1" applyProtection="1">
      <alignment horizontal="center" vertical="center"/>
    </xf>
    <xf numFmtId="0" fontId="205" fillId="0" borderId="0" xfId="0" applyFont="1" applyAlignment="1" applyProtection="1">
      <alignment horizontal="center" vertical="center"/>
    </xf>
    <xf numFmtId="173" fontId="0" fillId="0" borderId="0" xfId="0" applyNumberFormat="1" applyAlignment="1" applyProtection="1">
      <alignment vertical="center"/>
    </xf>
    <xf numFmtId="0" fontId="0" fillId="0" borderId="0" xfId="0" applyAlignment="1" applyProtection="1">
      <alignment vertical="center"/>
    </xf>
    <xf numFmtId="0" fontId="0" fillId="0" borderId="43" xfId="0" applyBorder="1" applyAlignment="1" applyProtection="1">
      <alignment horizontal="center"/>
    </xf>
    <xf numFmtId="0" fontId="0" fillId="0" borderId="17" xfId="0" applyBorder="1" applyAlignment="1" applyProtection="1">
      <alignment horizontal="center"/>
    </xf>
    <xf numFmtId="0" fontId="10" fillId="0" borderId="40" xfId="0" applyFont="1" applyBorder="1" applyAlignment="1" applyProtection="1">
      <alignment horizontal="centerContinuous"/>
    </xf>
    <xf numFmtId="0" fontId="18" fillId="0" borderId="40" xfId="0" applyFont="1" applyBorder="1" applyAlignment="1" applyProtection="1">
      <alignment horizontal="centerContinuous"/>
    </xf>
    <xf numFmtId="0" fontId="18" fillId="0" borderId="17" xfId="0" applyFont="1" applyBorder="1" applyAlignment="1" applyProtection="1">
      <alignment horizontal="centerContinuous"/>
    </xf>
    <xf numFmtId="0" fontId="137" fillId="0" borderId="17" xfId="0" applyFont="1" applyFill="1" applyBorder="1" applyProtection="1"/>
    <xf numFmtId="0" fontId="0" fillId="0" borderId="17" xfId="0" applyBorder="1" applyProtection="1"/>
    <xf numFmtId="0" fontId="0" fillId="0" borderId="21" xfId="0" applyBorder="1" applyAlignment="1" applyProtection="1">
      <alignment horizontal="center"/>
    </xf>
    <xf numFmtId="0" fontId="0" fillId="0" borderId="0" xfId="0" applyAlignment="1" applyProtection="1">
      <alignment horizontal="center"/>
    </xf>
    <xf numFmtId="0" fontId="18" fillId="0" borderId="35" xfId="0" quotePrefix="1" applyFont="1" applyBorder="1" applyAlignment="1" applyProtection="1">
      <alignment horizontal="center" wrapText="1"/>
    </xf>
    <xf numFmtId="0" fontId="18" fillId="0" borderId="36" xfId="0" quotePrefix="1" applyFont="1" applyBorder="1" applyAlignment="1" applyProtection="1">
      <alignment horizontal="center" wrapText="1"/>
    </xf>
    <xf numFmtId="0" fontId="0" fillId="0" borderId="36" xfId="0" applyBorder="1" applyProtection="1"/>
    <xf numFmtId="0" fontId="18" fillId="0" borderId="37" xfId="0" applyFont="1" applyFill="1" applyBorder="1" applyAlignment="1" applyProtection="1">
      <alignment horizontal="center" wrapText="1"/>
    </xf>
    <xf numFmtId="0" fontId="0" fillId="0" borderId="54" xfId="0" applyBorder="1" applyAlignment="1" applyProtection="1">
      <alignment wrapText="1"/>
    </xf>
    <xf numFmtId="0" fontId="0" fillId="0" borderId="19" xfId="0" applyBorder="1" applyProtection="1"/>
    <xf numFmtId="0" fontId="0" fillId="0" borderId="0" xfId="0" applyBorder="1" applyAlignment="1" applyProtection="1">
      <alignment horizontal="center"/>
    </xf>
    <xf numFmtId="0" fontId="0" fillId="0" borderId="0" xfId="0" applyBorder="1" applyProtection="1"/>
    <xf numFmtId="0" fontId="10" fillId="0" borderId="0" xfId="0" applyFont="1" applyBorder="1" applyProtection="1"/>
    <xf numFmtId="0" fontId="10" fillId="0" borderId="20" xfId="0" applyFont="1" applyBorder="1" applyProtection="1"/>
    <xf numFmtId="0" fontId="0" fillId="0" borderId="28" xfId="0" applyBorder="1" applyProtection="1"/>
    <xf numFmtId="0" fontId="0" fillId="0" borderId="0" xfId="0" quotePrefix="1" applyAlignment="1" applyProtection="1">
      <alignment horizontal="center" vertical="center"/>
    </xf>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xf>
    <xf numFmtId="173" fontId="5" fillId="0" borderId="0" xfId="198" applyNumberFormat="1" applyFont="1" applyFill="1" applyAlignment="1" applyProtection="1">
      <alignment vertical="center"/>
    </xf>
    <xf numFmtId="173" fontId="5" fillId="0" borderId="0" xfId="198" applyNumberFormat="1" applyFill="1" applyAlignment="1" applyProtection="1">
      <alignment vertical="center"/>
    </xf>
    <xf numFmtId="0" fontId="0" fillId="0" borderId="0" xfId="0" applyFill="1" applyAlignment="1" applyProtection="1">
      <alignment vertical="center"/>
    </xf>
    <xf numFmtId="173" fontId="85" fillId="27" borderId="0" xfId="198" applyNumberFormat="1" applyFont="1" applyFill="1" applyAlignment="1" applyProtection="1">
      <alignment vertical="center"/>
    </xf>
    <xf numFmtId="173" fontId="5" fillId="0" borderId="0" xfId="198" applyNumberFormat="1" applyAlignment="1" applyProtection="1">
      <alignment vertical="center"/>
    </xf>
    <xf numFmtId="173" fontId="0" fillId="0" borderId="28" xfId="0" applyNumberFormat="1" applyBorder="1" applyProtection="1"/>
    <xf numFmtId="173" fontId="5" fillId="0" borderId="0" xfId="198" applyNumberFormat="1" applyFont="1" applyFill="1" applyBorder="1" applyAlignment="1" applyProtection="1">
      <alignment vertical="center"/>
    </xf>
    <xf numFmtId="173" fontId="5" fillId="0" borderId="0" xfId="198" applyNumberFormat="1" applyFill="1" applyBorder="1" applyAlignment="1" applyProtection="1">
      <alignment vertical="center"/>
    </xf>
    <xf numFmtId="0" fontId="0" fillId="0" borderId="0" xfId="0" applyFill="1" applyBorder="1" applyAlignment="1" applyProtection="1">
      <alignment vertical="center"/>
    </xf>
    <xf numFmtId="173" fontId="85" fillId="27" borderId="0" xfId="198" applyNumberFormat="1" applyFont="1" applyFill="1" applyBorder="1" applyAlignment="1" applyProtection="1">
      <alignment vertical="center"/>
    </xf>
    <xf numFmtId="173" fontId="5" fillId="0" borderId="0" xfId="198" applyNumberFormat="1" applyBorder="1" applyAlignment="1" applyProtection="1">
      <alignment vertical="center"/>
    </xf>
    <xf numFmtId="0" fontId="5" fillId="0" borderId="0" xfId="0" quotePrefix="1" applyFont="1" applyAlignment="1" applyProtection="1">
      <alignment horizontal="center" vertical="center"/>
    </xf>
    <xf numFmtId="173" fontId="205" fillId="0" borderId="0" xfId="1537" applyNumberFormat="1" applyFont="1" applyFill="1" applyBorder="1" applyAlignment="1" applyProtection="1">
      <alignment vertical="center"/>
    </xf>
    <xf numFmtId="173" fontId="205" fillId="0" borderId="0" xfId="1537" applyNumberFormat="1" applyFill="1" applyBorder="1" applyAlignment="1" applyProtection="1">
      <alignment vertical="center"/>
    </xf>
    <xf numFmtId="0" fontId="5" fillId="0" borderId="19" xfId="0" quotePrefix="1"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Fill="1" applyBorder="1" applyAlignment="1" applyProtection="1">
      <alignment vertical="center" wrapText="1"/>
    </xf>
    <xf numFmtId="0" fontId="5" fillId="0" borderId="0" xfId="0" applyFont="1" applyFill="1" applyBorder="1" applyAlignment="1" applyProtection="1">
      <alignment horizontal="center" vertical="center"/>
    </xf>
    <xf numFmtId="173" fontId="205" fillId="0" borderId="0" xfId="1537" applyNumberFormat="1" applyBorder="1" applyAlignment="1" applyProtection="1">
      <alignment vertical="center"/>
    </xf>
    <xf numFmtId="173" fontId="205" fillId="0" borderId="0" xfId="1537" applyNumberFormat="1" applyFont="1" applyBorder="1" applyAlignment="1" applyProtection="1">
      <alignment vertical="center"/>
    </xf>
    <xf numFmtId="173" fontId="10" fillId="0" borderId="20" xfId="1537" applyNumberFormat="1" applyFont="1" applyBorder="1" applyAlignment="1" applyProtection="1">
      <alignment vertical="center"/>
    </xf>
    <xf numFmtId="173" fontId="0" fillId="0" borderId="28" xfId="0" applyNumberFormat="1" applyBorder="1" applyAlignment="1" applyProtection="1">
      <alignment vertical="center"/>
    </xf>
    <xf numFmtId="0" fontId="0" fillId="0" borderId="19" xfId="0" applyBorder="1" applyAlignment="1" applyProtection="1">
      <alignment vertical="center"/>
    </xf>
    <xf numFmtId="0" fontId="0" fillId="0" borderId="0" xfId="0" applyBorder="1" applyAlignment="1" applyProtection="1">
      <alignment vertical="center"/>
    </xf>
    <xf numFmtId="173" fontId="205" fillId="0" borderId="11" xfId="1537" applyNumberFormat="1" applyBorder="1" applyAlignment="1" applyProtection="1">
      <alignment vertical="center"/>
    </xf>
    <xf numFmtId="173" fontId="205" fillId="0" borderId="11" xfId="1537" applyNumberFormat="1" applyFill="1" applyBorder="1" applyAlignment="1" applyProtection="1">
      <alignment vertical="center"/>
    </xf>
    <xf numFmtId="173" fontId="10" fillId="0" borderId="25" xfId="1537" applyNumberFormat="1" applyFont="1" applyBorder="1" applyAlignment="1" applyProtection="1">
      <alignment vertical="center"/>
    </xf>
    <xf numFmtId="0" fontId="0" fillId="0" borderId="44" xfId="0" applyBorder="1" applyProtection="1"/>
    <xf numFmtId="0" fontId="0" fillId="0" borderId="34" xfId="0" applyBorder="1" applyAlignment="1" applyProtection="1">
      <alignment vertical="center"/>
    </xf>
    <xf numFmtId="0" fontId="0" fillId="0" borderId="6" xfId="0" applyBorder="1" applyAlignment="1" applyProtection="1">
      <alignment vertical="center"/>
    </xf>
    <xf numFmtId="0" fontId="0" fillId="0" borderId="6" xfId="0" quotePrefix="1" applyBorder="1" applyAlignment="1" applyProtection="1">
      <alignment horizontal="center" vertical="center"/>
    </xf>
    <xf numFmtId="0" fontId="0" fillId="0" borderId="6" xfId="0" applyBorder="1" applyAlignment="1" applyProtection="1">
      <alignment horizontal="center" vertical="center"/>
    </xf>
    <xf numFmtId="173" fontId="205" fillId="0" borderId="6" xfId="1537" applyNumberFormat="1" applyBorder="1" applyAlignment="1" applyProtection="1">
      <alignment vertical="center"/>
    </xf>
    <xf numFmtId="173" fontId="205" fillId="0" borderId="6" xfId="1537" applyNumberFormat="1" applyFill="1" applyBorder="1" applyAlignment="1" applyProtection="1">
      <alignment vertical="center"/>
    </xf>
    <xf numFmtId="173" fontId="85" fillId="61" borderId="6" xfId="1537" applyNumberFormat="1" applyFont="1" applyFill="1" applyBorder="1" applyAlignment="1" applyProtection="1">
      <alignment vertical="center"/>
    </xf>
    <xf numFmtId="174" fontId="10" fillId="0" borderId="27" xfId="1536" applyNumberFormat="1" applyFont="1" applyBorder="1" applyAlignment="1" applyProtection="1">
      <alignment vertical="center"/>
    </xf>
    <xf numFmtId="173" fontId="10" fillId="0" borderId="28" xfId="0" applyNumberFormat="1" applyFont="1" applyBorder="1" applyProtection="1"/>
    <xf numFmtId="0" fontId="85" fillId="0" borderId="0" xfId="0" quotePrefix="1" applyFont="1" applyAlignment="1" applyProtection="1">
      <alignment horizontal="left"/>
    </xf>
    <xf numFmtId="0" fontId="5" fillId="0" borderId="0" xfId="0" applyFont="1" applyAlignment="1" applyProtection="1">
      <alignment vertical="center"/>
    </xf>
    <xf numFmtId="173" fontId="84" fillId="0" borderId="0" xfId="1537" applyNumberFormat="1" applyFont="1" applyAlignment="1" applyProtection="1">
      <alignment horizontal="center" vertical="center"/>
    </xf>
    <xf numFmtId="173" fontId="205" fillId="0" borderId="0" xfId="1537" applyNumberFormat="1" applyAlignment="1" applyProtection="1">
      <alignment vertical="center"/>
    </xf>
    <xf numFmtId="173" fontId="84" fillId="0" borderId="0" xfId="1537" applyNumberFormat="1" applyFont="1" applyFill="1" applyAlignment="1" applyProtection="1">
      <alignment horizontal="center" vertical="center"/>
    </xf>
    <xf numFmtId="43" fontId="138" fillId="0" borderId="0" xfId="1537" applyFont="1" applyFill="1" applyAlignment="1" applyProtection="1">
      <alignment vertical="center"/>
    </xf>
    <xf numFmtId="43" fontId="205" fillId="0" borderId="0" xfId="1537" applyAlignment="1" applyProtection="1">
      <alignment vertical="center"/>
    </xf>
    <xf numFmtId="43" fontId="138" fillId="0" borderId="0" xfId="1537" applyFont="1" applyAlignment="1" applyProtection="1">
      <alignment vertical="center"/>
    </xf>
    <xf numFmtId="173" fontId="0" fillId="0" borderId="39" xfId="0" applyNumberFormat="1" applyBorder="1" applyProtection="1"/>
    <xf numFmtId="0" fontId="0" fillId="0" borderId="0" xfId="0" quotePrefix="1" applyAlignment="1" applyProtection="1">
      <alignment horizontal="left" vertical="center"/>
    </xf>
    <xf numFmtId="13" fontId="30" fillId="0" borderId="0" xfId="0" applyNumberFormat="1" applyFont="1" applyFill="1" applyAlignment="1" applyProtection="1">
      <alignment horizontal="center" vertical="center"/>
    </xf>
    <xf numFmtId="43" fontId="205" fillId="0" borderId="0" xfId="1537" applyFill="1" applyAlignment="1" applyProtection="1">
      <alignment vertical="center"/>
    </xf>
    <xf numFmtId="173" fontId="85" fillId="0" borderId="0" xfId="0" applyNumberFormat="1" applyFont="1" applyFill="1" applyAlignment="1" applyProtection="1">
      <alignment vertical="center"/>
    </xf>
    <xf numFmtId="173" fontId="85" fillId="0" borderId="0" xfId="1537" applyNumberFormat="1" applyFont="1" applyFill="1" applyAlignment="1" applyProtection="1">
      <alignment vertical="center"/>
    </xf>
    <xf numFmtId="197" fontId="205" fillId="0" borderId="0" xfId="1537" applyNumberFormat="1" applyAlignment="1" applyProtection="1">
      <alignment vertical="center"/>
    </xf>
    <xf numFmtId="173" fontId="205" fillId="0" borderId="0" xfId="1537" applyNumberFormat="1" applyProtection="1"/>
    <xf numFmtId="173" fontId="205" fillId="0" borderId="0" xfId="1537" applyNumberFormat="1" applyFill="1" applyProtection="1"/>
    <xf numFmtId="43" fontId="205" fillId="0" borderId="0" xfId="1537" applyProtection="1"/>
    <xf numFmtId="0" fontId="0" fillId="0" borderId="19" xfId="0" quotePrefix="1" applyBorder="1" applyAlignment="1" applyProtection="1">
      <alignment horizontal="center" vertical="center"/>
    </xf>
    <xf numFmtId="0" fontId="5" fillId="0" borderId="0" xfId="0" applyFont="1" applyFill="1" applyBorder="1" applyAlignment="1" applyProtection="1">
      <alignment vertical="center" wrapText="1"/>
    </xf>
    <xf numFmtId="173" fontId="10" fillId="0" borderId="20" xfId="1537" applyNumberFormat="1" applyFont="1" applyBorder="1" applyAlignment="1" applyProtection="1">
      <alignment horizontal="center" vertical="center"/>
    </xf>
    <xf numFmtId="0" fontId="0" fillId="0" borderId="0" xfId="0" applyAlignment="1" applyProtection="1"/>
    <xf numFmtId="0" fontId="205" fillId="0" borderId="0" xfId="0" applyFont="1" applyFill="1" applyBorder="1" applyAlignment="1" applyProtection="1">
      <alignment vertical="center" wrapText="1"/>
    </xf>
    <xf numFmtId="173" fontId="85" fillId="0" borderId="0" xfId="1537" applyNumberFormat="1" applyFont="1" applyFill="1" applyBorder="1" applyAlignment="1" applyProtection="1">
      <alignment vertical="center"/>
    </xf>
    <xf numFmtId="1" fontId="13" fillId="0" borderId="0" xfId="775" applyNumberFormat="1" applyFill="1" applyProtection="1"/>
    <xf numFmtId="1" fontId="13" fillId="0" borderId="0" xfId="775" applyNumberFormat="1" applyFill="1" applyAlignment="1" applyProtection="1">
      <alignment horizontal="center"/>
    </xf>
    <xf numFmtId="1" fontId="10" fillId="0" borderId="0" xfId="775" applyNumberFormat="1" applyFont="1" applyFill="1" applyAlignment="1" applyProtection="1">
      <alignment horizontal="centerContinuous"/>
    </xf>
    <xf numFmtId="1" fontId="10" fillId="0" borderId="0" xfId="775" quotePrefix="1" applyNumberFormat="1" applyFont="1" applyFill="1" applyAlignment="1" applyProtection="1">
      <alignment horizontal="centerContinuous"/>
    </xf>
    <xf numFmtId="1" fontId="13" fillId="0" borderId="0" xfId="775" applyNumberFormat="1" applyFont="1" applyFill="1" applyAlignment="1" applyProtection="1">
      <alignment horizontal="centerContinuous"/>
    </xf>
    <xf numFmtId="1" fontId="7" fillId="0" borderId="0" xfId="775" applyNumberFormat="1" applyFont="1" applyFill="1" applyAlignment="1" applyProtection="1">
      <alignment horizontal="centerContinuous"/>
    </xf>
    <xf numFmtId="1" fontId="21" fillId="0" borderId="0" xfId="775" applyNumberFormat="1" applyFont="1" applyFill="1" applyProtection="1"/>
    <xf numFmtId="1" fontId="22" fillId="0" borderId="0" xfId="775" applyNumberFormat="1" applyFont="1" applyFill="1" applyAlignment="1" applyProtection="1">
      <alignment horizontal="centerContinuous"/>
    </xf>
    <xf numFmtId="1" fontId="21" fillId="0" borderId="0" xfId="775" applyNumberFormat="1" applyFont="1" applyFill="1" applyAlignment="1" applyProtection="1">
      <alignment horizontal="left"/>
    </xf>
    <xf numFmtId="1" fontId="22" fillId="0" borderId="0" xfId="853" applyNumberFormat="1" applyFont="1" applyFill="1" applyAlignment="1" applyProtection="1">
      <alignment horizontal="center" wrapText="1"/>
    </xf>
    <xf numFmtId="1" fontId="22" fillId="0" borderId="0" xfId="775" applyNumberFormat="1" applyFont="1" applyFill="1" applyAlignment="1" applyProtection="1">
      <alignment horizontal="right"/>
    </xf>
    <xf numFmtId="194" fontId="22" fillId="0" borderId="0" xfId="853" applyNumberFormat="1" applyFont="1" applyFill="1" applyAlignment="1" applyProtection="1">
      <alignment horizontal="center" wrapText="1"/>
    </xf>
    <xf numFmtId="1" fontId="22" fillId="0" borderId="0" xfId="775" applyNumberFormat="1" applyFont="1" applyFill="1" applyAlignment="1" applyProtection="1">
      <alignment horizontal="center"/>
    </xf>
    <xf numFmtId="1" fontId="21" fillId="0" borderId="0" xfId="775" applyNumberFormat="1" applyFont="1" applyFill="1" applyAlignment="1" applyProtection="1">
      <alignment horizontal="center"/>
    </xf>
    <xf numFmtId="1" fontId="22" fillId="0" borderId="0" xfId="853" quotePrefix="1" applyNumberFormat="1" applyFont="1" applyFill="1" applyAlignment="1" applyProtection="1">
      <alignment horizontal="center"/>
    </xf>
    <xf numFmtId="1" fontId="22" fillId="0" borderId="0" xfId="775" quotePrefix="1" applyNumberFormat="1" applyFont="1" applyFill="1" applyAlignment="1" applyProtection="1">
      <alignment horizontal="center"/>
    </xf>
    <xf numFmtId="1" fontId="22" fillId="0" borderId="6" xfId="775" applyNumberFormat="1" applyFont="1" applyFill="1" applyBorder="1" applyProtection="1"/>
    <xf numFmtId="1" fontId="21" fillId="0" borderId="6" xfId="775" applyNumberFormat="1" applyFont="1" applyFill="1" applyBorder="1" applyProtection="1"/>
    <xf numFmtId="1" fontId="115" fillId="0" borderId="0" xfId="775" applyNumberFormat="1" applyFont="1" applyFill="1" applyProtection="1"/>
    <xf numFmtId="173" fontId="22" fillId="27" borderId="0" xfId="1638" applyNumberFormat="1" applyFont="1" applyFill="1" applyAlignment="1" applyProtection="1">
      <alignment horizontal="left"/>
    </xf>
    <xf numFmtId="173" fontId="21" fillId="27" borderId="0" xfId="312" applyNumberFormat="1" applyFont="1" applyFill="1" applyAlignment="1" applyProtection="1">
      <alignment horizontal="left"/>
    </xf>
    <xf numFmtId="176" fontId="21" fillId="0" borderId="0" xfId="311" applyNumberFormat="1" applyFont="1" applyFill="1" applyProtection="1"/>
    <xf numFmtId="187" fontId="13" fillId="0" borderId="0" xfId="929" applyNumberFormat="1" applyFont="1" applyFill="1" applyAlignment="1" applyProtection="1">
      <alignment horizontal="center"/>
    </xf>
    <xf numFmtId="1" fontId="22" fillId="0" borderId="0" xfId="775" applyNumberFormat="1" applyFont="1" applyFill="1" applyProtection="1"/>
    <xf numFmtId="176" fontId="21" fillId="0" borderId="0" xfId="311" applyNumberFormat="1" applyFont="1" applyFill="1" applyBorder="1" applyProtection="1"/>
    <xf numFmtId="1" fontId="22" fillId="0" borderId="2" xfId="775" applyNumberFormat="1" applyFont="1" applyFill="1" applyBorder="1" applyAlignment="1" applyProtection="1">
      <alignment horizontal="right"/>
    </xf>
    <xf numFmtId="193" fontId="21" fillId="0" borderId="0" xfId="775" applyNumberFormat="1" applyFont="1" applyFill="1" applyProtection="1"/>
    <xf numFmtId="1" fontId="13" fillId="0" borderId="0" xfId="775" applyNumberFormat="1" applyFill="1" applyBorder="1" applyProtection="1"/>
    <xf numFmtId="1" fontId="21" fillId="0" borderId="0" xfId="275" applyNumberFormat="1" applyFont="1" applyFill="1" applyProtection="1"/>
    <xf numFmtId="1" fontId="21" fillId="0" borderId="0" xfId="775" applyNumberFormat="1" applyFont="1" applyFill="1" applyBorder="1" applyProtection="1"/>
    <xf numFmtId="1" fontId="13" fillId="0" borderId="0" xfId="775" applyNumberFormat="1" applyFill="1" applyBorder="1" applyAlignment="1" applyProtection="1">
      <alignment horizontal="center"/>
    </xf>
    <xf numFmtId="1" fontId="22" fillId="0" borderId="11" xfId="775" applyNumberFormat="1" applyFont="1" applyFill="1" applyBorder="1" applyAlignment="1" applyProtection="1">
      <alignment horizontal="centerContinuous"/>
    </xf>
    <xf numFmtId="1" fontId="21" fillId="0" borderId="11" xfId="775" applyNumberFormat="1" applyFont="1" applyFill="1" applyBorder="1" applyAlignment="1" applyProtection="1">
      <alignment horizontal="centerContinuous"/>
    </xf>
    <xf numFmtId="3" fontId="21" fillId="27" borderId="0" xfId="0" applyNumberFormat="1" applyFont="1" applyFill="1" applyAlignment="1" applyProtection="1">
      <alignment wrapText="1"/>
    </xf>
    <xf numFmtId="1" fontId="22" fillId="0" borderId="15" xfId="275" applyNumberFormat="1" applyFont="1" applyFill="1" applyBorder="1" applyProtection="1"/>
    <xf numFmtId="1" fontId="13" fillId="0" borderId="0" xfId="775" applyNumberFormat="1" applyFill="1" applyAlignment="1" applyProtection="1">
      <alignment horizontal="right"/>
    </xf>
    <xf numFmtId="1" fontId="13" fillId="0" borderId="0" xfId="775" applyNumberFormat="1" applyFont="1" applyFill="1" applyProtection="1"/>
    <xf numFmtId="1" fontId="10" fillId="0" borderId="0" xfId="775" applyNumberFormat="1" applyFont="1" applyFill="1" applyProtection="1"/>
    <xf numFmtId="1" fontId="21" fillId="0" borderId="0" xfId="775" quotePrefix="1" applyNumberFormat="1" applyFont="1" applyFill="1" applyAlignment="1" applyProtection="1">
      <alignment horizontal="left"/>
    </xf>
    <xf numFmtId="1" fontId="10" fillId="0" borderId="6" xfId="775" applyNumberFormat="1" applyFont="1" applyFill="1" applyBorder="1" applyProtection="1"/>
    <xf numFmtId="1" fontId="13" fillId="0" borderId="6" xfId="775" applyNumberFormat="1" applyFill="1" applyBorder="1" applyProtection="1"/>
    <xf numFmtId="1" fontId="21" fillId="0" borderId="15" xfId="775" applyNumberFormat="1" applyFont="1" applyFill="1" applyBorder="1" applyProtection="1"/>
    <xf numFmtId="1" fontId="22" fillId="0" borderId="0" xfId="775" applyNumberFormat="1" applyFont="1" applyFill="1" applyAlignment="1" applyProtection="1">
      <alignment horizontal="left"/>
    </xf>
    <xf numFmtId="1" fontId="22" fillId="0" borderId="0" xfId="775" applyNumberFormat="1" applyFont="1" applyFill="1" applyBorder="1" applyProtection="1"/>
    <xf numFmtId="0" fontId="21" fillId="0" borderId="0" xfId="0" quotePrefix="1" applyFont="1" applyFill="1" applyAlignment="1" applyProtection="1">
      <alignment horizontal="left"/>
    </xf>
    <xf numFmtId="0" fontId="5" fillId="0" borderId="0" xfId="0" applyFont="1" applyFill="1" applyBorder="1" applyProtection="1"/>
    <xf numFmtId="0" fontId="9" fillId="0" borderId="0" xfId="881" applyNumberFormat="1" applyFont="1" applyFill="1" applyBorder="1" applyAlignment="1" applyProtection="1">
      <alignment horizontal="left"/>
    </xf>
    <xf numFmtId="14" fontId="9" fillId="0" borderId="0" xfId="881" applyNumberFormat="1" applyFont="1" applyFill="1" applyBorder="1" applyAlignment="1" applyProtection="1"/>
    <xf numFmtId="172" fontId="9" fillId="0" borderId="0" xfId="881" applyFont="1" applyFill="1" applyAlignment="1" applyProtection="1"/>
    <xf numFmtId="0" fontId="8" fillId="28" borderId="0" xfId="198" applyNumberFormat="1" applyFont="1" applyFill="1" applyAlignment="1" applyProtection="1">
      <alignment horizontal="right"/>
    </xf>
    <xf numFmtId="0" fontId="8" fillId="0" borderId="0" xfId="198" applyNumberFormat="1" applyFont="1" applyFill="1" applyAlignment="1" applyProtection="1"/>
    <xf numFmtId="0" fontId="8" fillId="0" borderId="0" xfId="0" applyFont="1" applyFill="1" applyAlignment="1" applyProtection="1"/>
    <xf numFmtId="0" fontId="5" fillId="0" borderId="0" xfId="0" applyFont="1" applyFill="1" applyProtection="1"/>
    <xf numFmtId="3" fontId="9" fillId="0" borderId="0" xfId="0" applyNumberFormat="1" applyFont="1" applyFill="1" applyAlignment="1" applyProtection="1">
      <alignment horizontal="center"/>
    </xf>
    <xf numFmtId="39" fontId="8" fillId="0" borderId="0" xfId="198" applyNumberFormat="1" applyFont="1" applyFill="1" applyAlignment="1" applyProtection="1">
      <alignment horizontal="center"/>
    </xf>
    <xf numFmtId="0" fontId="8" fillId="0" borderId="6" xfId="881" applyNumberFormat="1" applyFont="1" applyFill="1" applyBorder="1" applyAlignment="1" applyProtection="1">
      <alignment horizontal="center"/>
    </xf>
    <xf numFmtId="0" fontId="8" fillId="0" borderId="0" xfId="0" applyNumberFormat="1" applyFont="1" applyFill="1" applyProtection="1"/>
    <xf numFmtId="3" fontId="8" fillId="0" borderId="0" xfId="881" applyNumberFormat="1" applyFont="1" applyFill="1" applyProtection="1"/>
    <xf numFmtId="0" fontId="8" fillId="0" borderId="0" xfId="881" applyNumberFormat="1" applyFont="1" applyFill="1" applyAlignment="1" applyProtection="1">
      <alignment horizontal="left"/>
    </xf>
    <xf numFmtId="3" fontId="8" fillId="0" borderId="0" xfId="881" applyNumberFormat="1" applyFont="1" applyFill="1" applyAlignment="1" applyProtection="1">
      <alignment horizontal="left"/>
    </xf>
    <xf numFmtId="0" fontId="8" fillId="0" borderId="6" xfId="881" applyNumberFormat="1" applyFont="1" applyFill="1" applyBorder="1" applyAlignment="1" applyProtection="1">
      <alignment horizontal="centerContinuous"/>
    </xf>
    <xf numFmtId="0" fontId="8" fillId="0" borderId="0" xfId="0" applyNumberFormat="1" applyFont="1" applyFill="1" applyAlignment="1" applyProtection="1"/>
    <xf numFmtId="41" fontId="8" fillId="0" borderId="0" xfId="881" applyNumberFormat="1" applyFont="1" applyFill="1" applyBorder="1" applyAlignment="1" applyProtection="1"/>
    <xf numFmtId="3" fontId="8" fillId="0" borderId="0" xfId="881" applyNumberFormat="1" applyFont="1" applyFill="1" applyAlignment="1" applyProtection="1">
      <alignment horizontal="center"/>
    </xf>
    <xf numFmtId="165" fontId="8" fillId="0" borderId="0" xfId="881" applyNumberFormat="1" applyFont="1" applyFill="1" applyAlignment="1" applyProtection="1">
      <alignment horizontal="right"/>
    </xf>
    <xf numFmtId="42" fontId="8" fillId="0" borderId="0" xfId="881" applyNumberFormat="1" applyFont="1" applyFill="1" applyBorder="1" applyAlignment="1" applyProtection="1"/>
    <xf numFmtId="43" fontId="8" fillId="0" borderId="0" xfId="881" applyNumberFormat="1" applyFont="1" applyFill="1" applyBorder="1" applyAlignment="1" applyProtection="1">
      <alignment horizontal="center"/>
    </xf>
    <xf numFmtId="0" fontId="8" fillId="0" borderId="0" xfId="881" applyNumberFormat="1" applyFont="1" applyFill="1" applyBorder="1" applyAlignment="1" applyProtection="1">
      <alignment horizontal="centerContinuous"/>
    </xf>
    <xf numFmtId="0" fontId="8" fillId="0" borderId="0" xfId="0" applyNumberFormat="1" applyFont="1" applyFill="1" applyAlignment="1" applyProtection="1">
      <alignment wrapText="1"/>
    </xf>
    <xf numFmtId="170" fontId="8" fillId="0" borderId="15" xfId="881" applyNumberFormat="1" applyFont="1" applyFill="1" applyBorder="1" applyAlignment="1" applyProtection="1"/>
    <xf numFmtId="42" fontId="8" fillId="0" borderId="0" xfId="881" applyNumberFormat="1" applyFont="1" applyFill="1" applyAlignment="1" applyProtection="1"/>
    <xf numFmtId="172" fontId="65" fillId="0" borderId="0" xfId="881" applyFont="1" applyFill="1" applyAlignment="1" applyProtection="1">
      <alignment horizontal="center" wrapText="1"/>
    </xf>
    <xf numFmtId="41" fontId="8" fillId="0" borderId="0" xfId="881" applyNumberFormat="1" applyFont="1" applyFill="1" applyAlignment="1" applyProtection="1"/>
    <xf numFmtId="43" fontId="8" fillId="0" borderId="0" xfId="198" applyFont="1" applyFill="1" applyProtection="1"/>
    <xf numFmtId="171" fontId="8" fillId="0" borderId="0" xfId="881" applyNumberFormat="1" applyFont="1" applyFill="1" applyProtection="1"/>
    <xf numFmtId="10" fontId="8" fillId="0" borderId="0" xfId="881" applyNumberFormat="1" applyFont="1" applyFill="1" applyAlignment="1" applyProtection="1"/>
    <xf numFmtId="10" fontId="8" fillId="0" borderId="0" xfId="881" applyNumberFormat="1" applyFont="1" applyFill="1" applyProtection="1"/>
    <xf numFmtId="10" fontId="8" fillId="0" borderId="0" xfId="899" applyNumberFormat="1" applyFont="1" applyFill="1" applyAlignment="1" applyProtection="1"/>
    <xf numFmtId="173" fontId="8" fillId="0" borderId="0" xfId="198" applyNumberFormat="1" applyFont="1" applyFill="1" applyAlignment="1" applyProtection="1"/>
    <xf numFmtId="42" fontId="8" fillId="0" borderId="0" xfId="899" applyNumberFormat="1" applyFont="1" applyFill="1" applyAlignment="1" applyProtection="1"/>
    <xf numFmtId="43" fontId="8" fillId="0" borderId="0" xfId="198" applyFont="1" applyFill="1" applyAlignment="1" applyProtection="1"/>
    <xf numFmtId="41" fontId="8" fillId="0" borderId="0" xfId="881" applyNumberFormat="1" applyFont="1" applyFill="1" applyAlignment="1" applyProtection="1">
      <alignment horizontal="center"/>
    </xf>
    <xf numFmtId="49" fontId="8" fillId="0" borderId="0" xfId="881" applyNumberFormat="1" applyFont="1" applyFill="1" applyAlignment="1" applyProtection="1">
      <alignment horizontal="left"/>
    </xf>
    <xf numFmtId="0" fontId="6" fillId="0" borderId="0" xfId="881" applyNumberFormat="1" applyFont="1" applyFill="1" applyAlignment="1" applyProtection="1">
      <alignment horizontal="center" vertical="center"/>
    </xf>
    <xf numFmtId="3" fontId="9" fillId="0" borderId="0" xfId="881" applyNumberFormat="1" applyFont="1" applyFill="1" applyAlignment="1" applyProtection="1">
      <alignment horizontal="center"/>
    </xf>
    <xf numFmtId="0" fontId="11" fillId="0" borderId="0" xfId="881" applyNumberFormat="1" applyFont="1" applyFill="1" applyAlignment="1" applyProtection="1">
      <alignment horizontal="center"/>
    </xf>
    <xf numFmtId="172" fontId="11" fillId="0" borderId="0" xfId="881" applyFont="1" applyFill="1" applyBorder="1" applyAlignment="1" applyProtection="1">
      <alignment horizontal="center"/>
    </xf>
    <xf numFmtId="3" fontId="9" fillId="0" borderId="0" xfId="881" applyNumberFormat="1" applyFont="1" applyFill="1" applyAlignment="1" applyProtection="1"/>
    <xf numFmtId="3" fontId="15" fillId="0" borderId="0" xfId="881" applyNumberFormat="1" applyFont="1" applyFill="1" applyAlignment="1" applyProtection="1">
      <alignment horizontal="center"/>
    </xf>
    <xf numFmtId="3" fontId="8" fillId="0" borderId="0" xfId="881" applyNumberFormat="1" applyFont="1" applyFill="1" applyBorder="1" applyAlignment="1" applyProtection="1">
      <alignment horizontal="center"/>
    </xf>
    <xf numFmtId="0" fontId="8" fillId="0" borderId="0" xfId="881" applyNumberFormat="1" applyFont="1" applyFill="1" applyBorder="1" applyAlignment="1" applyProtection="1"/>
    <xf numFmtId="3" fontId="78" fillId="0" borderId="0" xfId="881" applyNumberFormat="1" applyFont="1" applyFill="1" applyAlignment="1" applyProtection="1"/>
    <xf numFmtId="0" fontId="8" fillId="0" borderId="0" xfId="881" applyNumberFormat="1" applyFont="1" applyFill="1" applyAlignment="1" applyProtection="1">
      <alignment horizontal="center" vertical="center"/>
    </xf>
    <xf numFmtId="0" fontId="8" fillId="0" borderId="0" xfId="881" applyNumberFormat="1" applyFont="1" applyFill="1" applyBorder="1" applyAlignment="1" applyProtection="1">
      <alignment vertical="center"/>
    </xf>
    <xf numFmtId="3" fontId="78" fillId="0" borderId="0" xfId="881" applyNumberFormat="1" applyFont="1" applyFill="1" applyAlignment="1" applyProtection="1">
      <alignment vertical="center" wrapText="1"/>
    </xf>
    <xf numFmtId="3" fontId="8" fillId="0" borderId="0" xfId="881" applyNumberFormat="1" applyFont="1" applyFill="1" applyAlignment="1" applyProtection="1">
      <alignment horizontal="center" vertical="center"/>
    </xf>
    <xf numFmtId="3" fontId="8" fillId="0" borderId="0" xfId="881" applyNumberFormat="1" applyFont="1" applyFill="1" applyAlignment="1" applyProtection="1">
      <alignment vertical="center"/>
    </xf>
    <xf numFmtId="41" fontId="8" fillId="0" borderId="0" xfId="881" applyNumberFormat="1" applyFont="1" applyFill="1" applyAlignment="1" applyProtection="1">
      <alignment vertical="center"/>
    </xf>
    <xf numFmtId="41" fontId="8" fillId="0" borderId="6" xfId="881" applyNumberFormat="1" applyFont="1" applyFill="1" applyBorder="1" applyAlignment="1" applyProtection="1"/>
    <xf numFmtId="0" fontId="5" fillId="0" borderId="0" xfId="0" applyFont="1" applyFill="1" applyAlignment="1" applyProtection="1"/>
    <xf numFmtId="165" fontId="9" fillId="0" borderId="0" xfId="881" applyNumberFormat="1" applyFont="1" applyFill="1" applyAlignment="1" applyProtection="1"/>
    <xf numFmtId="0" fontId="5" fillId="0" borderId="0" xfId="0" applyFont="1" applyFill="1" applyAlignment="1" applyProtection="1">
      <alignment horizontal="center"/>
    </xf>
    <xf numFmtId="44" fontId="8" fillId="0" borderId="0" xfId="881" applyNumberFormat="1" applyFont="1" applyFill="1" applyAlignment="1" applyProtection="1">
      <alignment horizontal="right"/>
    </xf>
    <xf numFmtId="172" fontId="9" fillId="0" borderId="0" xfId="881" applyFont="1" applyFill="1" applyAlignment="1" applyProtection="1">
      <alignment horizontal="right"/>
    </xf>
    <xf numFmtId="181" fontId="9" fillId="0" borderId="0" xfId="198" applyNumberFormat="1" applyFont="1" applyFill="1" applyAlignment="1" applyProtection="1"/>
    <xf numFmtId="183" fontId="8" fillId="0" borderId="0" xfId="881" applyNumberFormat="1" applyFont="1" applyFill="1" applyAlignment="1" applyProtection="1"/>
    <xf numFmtId="182" fontId="8" fillId="0" borderId="0" xfId="881" applyNumberFormat="1" applyFont="1" applyFill="1" applyAlignment="1" applyProtection="1"/>
    <xf numFmtId="3" fontId="8" fillId="0" borderId="0" xfId="881" applyNumberFormat="1" applyFont="1" applyFill="1" applyAlignment="1" applyProtection="1">
      <alignment wrapText="1"/>
    </xf>
    <xf numFmtId="3" fontId="9" fillId="0" borderId="0" xfId="881" applyNumberFormat="1" applyFont="1" applyFill="1" applyAlignment="1" applyProtection="1">
      <alignment horizontal="right" vertical="center"/>
    </xf>
    <xf numFmtId="165" fontId="8" fillId="0" borderId="0" xfId="881" applyNumberFormat="1" applyFont="1" applyFill="1" applyAlignment="1" applyProtection="1"/>
    <xf numFmtId="0" fontId="8" fillId="0" borderId="0" xfId="881" applyNumberFormat="1" applyFont="1" applyFill="1" applyAlignment="1" applyProtection="1">
      <alignment horizontal="left" wrapText="1"/>
    </xf>
    <xf numFmtId="0" fontId="5" fillId="0" borderId="0" xfId="0" applyFont="1" applyFill="1" applyAlignment="1" applyProtection="1">
      <alignment wrapText="1"/>
    </xf>
    <xf numFmtId="0" fontId="5" fillId="0" borderId="0" xfId="0" applyFont="1" applyFill="1" applyAlignment="1" applyProtection="1">
      <alignment horizontal="center" wrapText="1"/>
    </xf>
    <xf numFmtId="164" fontId="8" fillId="0" borderId="0" xfId="881" applyNumberFormat="1" applyFont="1" applyFill="1" applyAlignment="1" applyProtection="1">
      <alignment horizontal="center"/>
    </xf>
    <xf numFmtId="176" fontId="8" fillId="0" borderId="0" xfId="198" applyNumberFormat="1" applyFont="1" applyFill="1" applyAlignment="1" applyProtection="1">
      <alignment horizontal="center"/>
    </xf>
    <xf numFmtId="181" fontId="8" fillId="0" borderId="0" xfId="198" applyNumberFormat="1" applyFont="1" applyFill="1" applyAlignment="1" applyProtection="1"/>
    <xf numFmtId="41" fontId="8" fillId="0" borderId="0" xfId="881" applyNumberFormat="1" applyFont="1" applyFill="1" applyAlignment="1" applyProtection="1">
      <alignment horizontal="center" vertical="center"/>
    </xf>
    <xf numFmtId="41" fontId="8" fillId="0" borderId="29" xfId="881" applyNumberFormat="1" applyFont="1" applyFill="1" applyBorder="1" applyAlignment="1" applyProtection="1"/>
    <xf numFmtId="3" fontId="11" fillId="0" borderId="0" xfId="881" applyNumberFormat="1" applyFont="1" applyFill="1" applyAlignment="1" applyProtection="1">
      <alignment horizontal="center"/>
    </xf>
    <xf numFmtId="172" fontId="6" fillId="0" borderId="0" xfId="881" applyFont="1" applyFill="1" applyAlignment="1" applyProtection="1">
      <alignment horizontal="center"/>
    </xf>
    <xf numFmtId="3" fontId="11" fillId="0" borderId="0" xfId="881" applyNumberFormat="1" applyFont="1" applyFill="1" applyAlignment="1" applyProtection="1"/>
    <xf numFmtId="41" fontId="8" fillId="27" borderId="0" xfId="879" applyNumberFormat="1" applyFont="1" applyFill="1" applyProtection="1"/>
    <xf numFmtId="41" fontId="8" fillId="0" borderId="0" xfId="879" applyNumberFormat="1" applyFont="1" applyFill="1" applyProtection="1"/>
    <xf numFmtId="5" fontId="8" fillId="0" borderId="0" xfId="881" applyNumberFormat="1" applyFont="1" applyFill="1" applyBorder="1" applyAlignment="1" applyProtection="1"/>
    <xf numFmtId="41" fontId="8" fillId="0" borderId="17" xfId="881" applyNumberFormat="1" applyFont="1" applyFill="1" applyBorder="1" applyAlignment="1" applyProtection="1"/>
    <xf numFmtId="43" fontId="5" fillId="0" borderId="0" xfId="198" applyNumberFormat="1" applyFont="1" applyFill="1" applyAlignment="1" applyProtection="1"/>
    <xf numFmtId="3" fontId="8" fillId="0" borderId="0" xfId="881" applyNumberFormat="1" applyFont="1" applyFill="1" applyBorder="1" applyAlignment="1" applyProtection="1"/>
    <xf numFmtId="165" fontId="8" fillId="0" borderId="0" xfId="881" applyNumberFormat="1" applyFont="1" applyFill="1" applyBorder="1" applyAlignment="1" applyProtection="1"/>
    <xf numFmtId="3" fontId="8" fillId="0" borderId="0" xfId="881" applyNumberFormat="1" applyFont="1" applyFill="1" applyAlignment="1" applyProtection="1">
      <alignment vertical="center" wrapText="1"/>
    </xf>
    <xf numFmtId="166" fontId="8" fillId="0" borderId="0" xfId="881" applyNumberFormat="1" applyFont="1" applyFill="1" applyAlignment="1" applyProtection="1"/>
    <xf numFmtId="167" fontId="8" fillId="0" borderId="0" xfId="881" applyNumberFormat="1" applyFont="1" applyFill="1" applyAlignment="1" applyProtection="1"/>
    <xf numFmtId="164" fontId="8" fillId="0" borderId="0" xfId="881" applyNumberFormat="1" applyFont="1" applyFill="1" applyBorder="1" applyAlignment="1" applyProtection="1">
      <alignment horizontal="left"/>
    </xf>
    <xf numFmtId="168" fontId="8" fillId="0" borderId="0" xfId="881" applyNumberFormat="1" applyFont="1" applyFill="1" applyAlignment="1" applyProtection="1"/>
    <xf numFmtId="10" fontId="8" fillId="0" borderId="0" xfId="881" applyNumberFormat="1" applyFont="1" applyFill="1" applyAlignment="1" applyProtection="1">
      <alignment horizontal="right"/>
    </xf>
    <xf numFmtId="10" fontId="5" fillId="0" borderId="0" xfId="0" applyNumberFormat="1" applyFont="1" applyFill="1" applyProtection="1"/>
    <xf numFmtId="166" fontId="8" fillId="0" borderId="0" xfId="881" applyNumberFormat="1" applyFont="1" applyFill="1" applyAlignment="1" applyProtection="1">
      <alignment horizontal="center"/>
    </xf>
    <xf numFmtId="188" fontId="8" fillId="0" borderId="0" xfId="881" applyNumberFormat="1" applyFont="1" applyFill="1" applyAlignment="1" applyProtection="1">
      <alignment horizontal="center"/>
    </xf>
    <xf numFmtId="189" fontId="8" fillId="0" borderId="0" xfId="881" applyNumberFormat="1" applyFont="1" applyFill="1" applyAlignment="1" applyProtection="1"/>
    <xf numFmtId="178" fontId="8" fillId="0" borderId="0" xfId="881" applyNumberFormat="1" applyFont="1" applyFill="1" applyAlignment="1" applyProtection="1">
      <alignment horizontal="right"/>
    </xf>
    <xf numFmtId="186" fontId="8" fillId="0" borderId="0" xfId="198" applyNumberFormat="1" applyFont="1" applyFill="1" applyAlignment="1" applyProtection="1">
      <alignment horizontal="center"/>
    </xf>
    <xf numFmtId="178" fontId="8" fillId="0" borderId="0" xfId="881" applyNumberFormat="1" applyFont="1" applyFill="1" applyAlignment="1" applyProtection="1">
      <alignment horizontal="center"/>
    </xf>
    <xf numFmtId="10" fontId="8" fillId="0" borderId="0" xfId="881" applyNumberFormat="1" applyFont="1" applyFill="1" applyAlignment="1" applyProtection="1">
      <alignment horizontal="left"/>
    </xf>
    <xf numFmtId="168" fontId="8" fillId="0" borderId="0" xfId="881" applyNumberFormat="1" applyFont="1" applyFill="1" applyAlignment="1" applyProtection="1">
      <alignment horizontal="left"/>
    </xf>
    <xf numFmtId="41" fontId="8" fillId="0" borderId="0" xfId="881" applyNumberFormat="1" applyFont="1" applyFill="1" applyAlignment="1" applyProtection="1">
      <alignment horizontal="right"/>
    </xf>
    <xf numFmtId="178" fontId="8" fillId="0" borderId="0" xfId="881" applyNumberFormat="1" applyFont="1" applyFill="1" applyAlignment="1" applyProtection="1"/>
    <xf numFmtId="164" fontId="8" fillId="0" borderId="0" xfId="881" applyNumberFormat="1" applyFont="1" applyFill="1" applyBorder="1" applyAlignment="1" applyProtection="1">
      <alignment horizontal="left" vertical="center"/>
    </xf>
    <xf numFmtId="179" fontId="8" fillId="0" borderId="0" xfId="881" applyNumberFormat="1" applyFont="1" applyFill="1" applyAlignment="1" applyProtection="1"/>
    <xf numFmtId="3" fontId="8" fillId="0" borderId="0" xfId="881" applyNumberFormat="1" applyFont="1" applyFill="1" applyAlignment="1" applyProtection="1">
      <alignment horizontal="right"/>
    </xf>
    <xf numFmtId="173" fontId="8" fillId="0" borderId="15" xfId="198" applyNumberFormat="1" applyFont="1" applyFill="1" applyBorder="1" applyAlignment="1" applyProtection="1"/>
    <xf numFmtId="0" fontId="8" fillId="0" borderId="0" xfId="881" applyNumberFormat="1" applyFont="1" applyFill="1" applyBorder="1" applyAlignment="1" applyProtection="1">
      <alignment horizontal="left"/>
    </xf>
    <xf numFmtId="0" fontId="9" fillId="0" borderId="0" xfId="881" applyNumberFormat="1" applyFont="1" applyFill="1" applyAlignment="1" applyProtection="1"/>
    <xf numFmtId="0" fontId="8" fillId="0" borderId="0" xfId="0" applyFont="1" applyFill="1" applyAlignment="1" applyProtection="1">
      <alignment horizontal="left"/>
    </xf>
    <xf numFmtId="0" fontId="8" fillId="0" borderId="0" xfId="881" quotePrefix="1" applyNumberFormat="1" applyFont="1" applyFill="1" applyAlignment="1" applyProtection="1">
      <alignment horizontal="left"/>
    </xf>
    <xf numFmtId="172" fontId="8" fillId="0" borderId="0" xfId="881" applyFont="1" applyFill="1" applyBorder="1" applyAlignment="1" applyProtection="1">
      <alignment horizontal="center"/>
    </xf>
    <xf numFmtId="173" fontId="8" fillId="0" borderId="6" xfId="198" applyNumberFormat="1" applyFont="1" applyFill="1" applyBorder="1" applyAlignment="1" applyProtection="1"/>
    <xf numFmtId="3" fontId="8" fillId="0" borderId="0" xfId="881" applyNumberFormat="1" applyFont="1" applyFill="1" applyBorder="1" applyAlignment="1" applyProtection="1">
      <alignment horizontal="left"/>
    </xf>
    <xf numFmtId="49" fontId="8" fillId="0" borderId="0" xfId="881" applyNumberFormat="1" applyFont="1" applyFill="1" applyBorder="1" applyProtection="1"/>
    <xf numFmtId="49" fontId="8" fillId="0" borderId="0" xfId="881" applyNumberFormat="1" applyFont="1" applyFill="1" applyBorder="1" applyAlignment="1" applyProtection="1"/>
    <xf numFmtId="49" fontId="8" fillId="0" borderId="0" xfId="881" applyNumberFormat="1" applyFont="1" applyFill="1" applyBorder="1" applyAlignment="1" applyProtection="1">
      <alignment horizontal="center"/>
    </xf>
    <xf numFmtId="3" fontId="9" fillId="0" borderId="0" xfId="881" applyNumberFormat="1" applyFont="1" applyFill="1" applyBorder="1" applyAlignment="1" applyProtection="1"/>
    <xf numFmtId="165" fontId="9" fillId="0" borderId="0" xfId="881" applyNumberFormat="1" applyFont="1" applyFill="1" applyBorder="1" applyAlignment="1" applyProtection="1">
      <alignment horizontal="right"/>
    </xf>
    <xf numFmtId="3" fontId="8" fillId="0" borderId="0" xfId="881" applyNumberFormat="1" applyFont="1" applyFill="1" applyAlignment="1" applyProtection="1">
      <alignment horizontal="center" wrapText="1"/>
    </xf>
    <xf numFmtId="4" fontId="8" fillId="0" borderId="0" xfId="881" applyNumberFormat="1" applyFont="1" applyFill="1" applyAlignment="1" applyProtection="1"/>
    <xf numFmtId="3" fontId="8" fillId="0" borderId="0" xfId="881" applyNumberFormat="1" applyFont="1" applyAlignment="1" applyProtection="1"/>
    <xf numFmtId="41" fontId="206" fillId="0" borderId="0" xfId="881" applyNumberFormat="1" applyFont="1" applyFill="1" applyAlignment="1" applyProtection="1"/>
    <xf numFmtId="166" fontId="9" fillId="0" borderId="0" xfId="881" applyNumberFormat="1" applyFont="1" applyFill="1" applyProtection="1"/>
    <xf numFmtId="3" fontId="8" fillId="0" borderId="6" xfId="881" applyNumberFormat="1" applyFont="1" applyFill="1" applyBorder="1" applyAlignment="1" applyProtection="1">
      <alignment horizontal="center"/>
    </xf>
    <xf numFmtId="0" fontId="15" fillId="0" borderId="0" xfId="881" applyNumberFormat="1" applyFont="1" applyFill="1" applyBorder="1" applyAlignment="1" applyProtection="1">
      <alignment horizontal="left"/>
    </xf>
    <xf numFmtId="41" fontId="8" fillId="0" borderId="6" xfId="881" applyNumberFormat="1" applyFont="1" applyFill="1" applyBorder="1" applyAlignment="1" applyProtection="1">
      <alignment horizontal="center"/>
    </xf>
    <xf numFmtId="3" fontId="11" fillId="0" borderId="0" xfId="881" applyNumberFormat="1" applyFont="1" applyFill="1" applyAlignment="1" applyProtection="1">
      <alignment horizontal="center" wrapText="1"/>
    </xf>
    <xf numFmtId="0" fontId="5" fillId="0" borderId="0" xfId="0" applyFont="1" applyProtection="1"/>
    <xf numFmtId="0" fontId="78" fillId="0" borderId="6" xfId="881" applyNumberFormat="1" applyFont="1" applyFill="1" applyBorder="1" applyAlignment="1" applyProtection="1">
      <alignment horizontal="center"/>
    </xf>
    <xf numFmtId="169" fontId="8" fillId="0" borderId="0" xfId="881" applyNumberFormat="1" applyFont="1" applyFill="1" applyAlignment="1" applyProtection="1"/>
    <xf numFmtId="169" fontId="8" fillId="0" borderId="0" xfId="881" applyNumberFormat="1" applyFont="1" applyFill="1" applyBorder="1" applyAlignment="1" applyProtection="1"/>
    <xf numFmtId="10" fontId="8" fillId="27" borderId="0" xfId="899" applyNumberFormat="1" applyFont="1" applyFill="1" applyProtection="1"/>
    <xf numFmtId="169" fontId="8" fillId="0" borderId="6" xfId="881" applyNumberFormat="1" applyFont="1" applyFill="1" applyBorder="1" applyAlignment="1" applyProtection="1"/>
    <xf numFmtId="3" fontId="9" fillId="0" borderId="0" xfId="881" applyNumberFormat="1" applyFont="1" applyFill="1" applyAlignment="1" applyProtection="1">
      <alignment horizontal="right"/>
    </xf>
    <xf numFmtId="169" fontId="9" fillId="0" borderId="0" xfId="881" applyNumberFormat="1" applyFont="1" applyFill="1" applyAlignment="1" applyProtection="1"/>
    <xf numFmtId="191" fontId="8" fillId="0" borderId="0" xfId="899" applyNumberFormat="1" applyFont="1" applyFill="1" applyAlignment="1" applyProtection="1"/>
    <xf numFmtId="0" fontId="6" fillId="0" borderId="0" xfId="0" applyFont="1" applyFill="1" applyProtection="1"/>
    <xf numFmtId="0" fontId="8" fillId="0" borderId="0" xfId="0" applyFont="1" applyFill="1" applyProtection="1"/>
    <xf numFmtId="41" fontId="8" fillId="27" borderId="0" xfId="1176" applyNumberFormat="1" applyFont="1" applyFill="1" applyProtection="1"/>
    <xf numFmtId="41" fontId="30" fillId="27" borderId="0" xfId="1176" applyNumberFormat="1" applyFont="1" applyFill="1" applyProtection="1"/>
    <xf numFmtId="173" fontId="8" fillId="0" borderId="77" xfId="198" applyNumberFormat="1" applyFont="1" applyFill="1" applyBorder="1" applyAlignment="1" applyProtection="1"/>
    <xf numFmtId="172" fontId="8" fillId="0" borderId="0" xfId="881" applyNumberFormat="1" applyFont="1" applyFill="1" applyAlignment="1" applyProtection="1"/>
    <xf numFmtId="172" fontId="11" fillId="0" borderId="0" xfId="881" applyFont="1" applyFill="1" applyAlignment="1" applyProtection="1">
      <alignment horizontal="center"/>
    </xf>
    <xf numFmtId="181" fontId="8" fillId="0" borderId="0" xfId="198" applyNumberFormat="1" applyFont="1" applyFill="1" applyProtection="1"/>
    <xf numFmtId="172" fontId="8" fillId="0" borderId="0" xfId="881" applyFont="1" applyFill="1" applyAlignment="1" applyProtection="1">
      <alignment horizontal="center" vertical="top"/>
    </xf>
    <xf numFmtId="0" fontId="16" fillId="0" borderId="0" xfId="0" applyFont="1" applyAlignment="1" applyProtection="1">
      <alignment vertical="top" wrapText="1"/>
    </xf>
    <xf numFmtId="0" fontId="6" fillId="0" borderId="0" xfId="881" applyNumberFormat="1" applyFont="1" applyFill="1" applyAlignment="1" applyProtection="1">
      <alignment horizontal="center" vertical="top"/>
    </xf>
    <xf numFmtId="0" fontId="8" fillId="0" borderId="0" xfId="881" applyNumberFormat="1" applyFont="1" applyFill="1" applyAlignment="1" applyProtection="1">
      <alignment horizontal="center" vertical="top"/>
    </xf>
    <xf numFmtId="166" fontId="8" fillId="0" borderId="0" xfId="881" applyNumberFormat="1" applyFont="1" applyFill="1" applyProtection="1"/>
    <xf numFmtId="1" fontId="8" fillId="0" borderId="0" xfId="881" applyNumberFormat="1" applyFont="1" applyFill="1" applyProtection="1"/>
    <xf numFmtId="0" fontId="158" fillId="0" borderId="0" xfId="760" applyNumberFormat="1" applyFont="1" applyAlignment="1" applyProtection="1"/>
    <xf numFmtId="0" fontId="13" fillId="0" borderId="0" xfId="760" applyFont="1" applyAlignment="1" applyProtection="1"/>
    <xf numFmtId="0" fontId="8" fillId="0" borderId="0" xfId="791" applyFont="1" applyFill="1" applyBorder="1" applyAlignment="1" applyProtection="1"/>
    <xf numFmtId="0" fontId="13" fillId="0" borderId="0" xfId="760" applyNumberFormat="1" applyFont="1" applyAlignment="1" applyProtection="1">
      <alignment horizontal="center"/>
    </xf>
    <xf numFmtId="0" fontId="13" fillId="0" borderId="0" xfId="760" applyFont="1" applyAlignment="1" applyProtection="1">
      <alignment horizontal="right"/>
    </xf>
    <xf numFmtId="0" fontId="9" fillId="0" borderId="0" xfId="791" applyFont="1" applyFill="1" applyBorder="1" applyAlignment="1" applyProtection="1"/>
    <xf numFmtId="0" fontId="10" fillId="0" borderId="0" xfId="1123" applyFont="1" applyAlignment="1" applyProtection="1">
      <alignment horizontal="centerContinuous"/>
    </xf>
    <xf numFmtId="0" fontId="13" fillId="0" borderId="0" xfId="1123" applyFont="1" applyFill="1" applyAlignment="1" applyProtection="1">
      <alignment horizontal="left"/>
    </xf>
    <xf numFmtId="0" fontId="10" fillId="0" borderId="0" xfId="1123" applyFont="1" applyAlignment="1" applyProtection="1">
      <alignment horizontal="center"/>
    </xf>
    <xf numFmtId="0" fontId="13" fillId="0" borderId="0" xfId="760" applyFont="1" applyProtection="1"/>
    <xf numFmtId="0" fontId="13" fillId="0" borderId="53" xfId="760" applyNumberFormat="1" applyFont="1" applyBorder="1" applyAlignment="1" applyProtection="1">
      <alignment horizontal="center" wrapText="1"/>
    </xf>
    <xf numFmtId="0" fontId="10" fillId="0" borderId="52" xfId="1123" applyFont="1" applyBorder="1" applyAlignment="1" applyProtection="1">
      <alignment horizontal="center" wrapText="1"/>
    </xf>
    <xf numFmtId="0" fontId="10" fillId="0" borderId="51" xfId="1123" applyFont="1" applyBorder="1" applyAlignment="1" applyProtection="1">
      <alignment horizontal="center" wrapText="1"/>
    </xf>
    <xf numFmtId="0" fontId="10" fillId="0" borderId="0" xfId="1123" applyFont="1" applyBorder="1" applyAlignment="1" applyProtection="1">
      <alignment horizontal="center" wrapText="1"/>
    </xf>
    <xf numFmtId="0" fontId="10" fillId="0" borderId="50" xfId="1123" applyFont="1" applyBorder="1" applyAlignment="1" applyProtection="1">
      <alignment horizontal="center" wrapText="1"/>
    </xf>
    <xf numFmtId="0" fontId="13" fillId="0" borderId="0" xfId="760" applyFont="1" applyAlignment="1" applyProtection="1">
      <alignment wrapText="1"/>
    </xf>
    <xf numFmtId="0" fontId="13" fillId="0" borderId="51" xfId="760" applyNumberFormat="1" applyFont="1" applyBorder="1" applyAlignment="1" applyProtection="1">
      <alignment horizontal="center"/>
    </xf>
    <xf numFmtId="0" fontId="10" fillId="0" borderId="50" xfId="1123" applyFont="1" applyBorder="1" applyAlignment="1" applyProtection="1">
      <alignment horizontal="center"/>
    </xf>
    <xf numFmtId="0" fontId="10" fillId="0" borderId="51" xfId="1123" applyFont="1" applyBorder="1" applyAlignment="1" applyProtection="1">
      <alignment horizontal="center"/>
    </xf>
    <xf numFmtId="0" fontId="10" fillId="0" borderId="0" xfId="1123" applyFont="1" applyBorder="1" applyAlignment="1" applyProtection="1">
      <alignment horizontal="center"/>
    </xf>
    <xf numFmtId="0" fontId="160" fillId="0" borderId="0" xfId="760" applyFont="1" applyAlignment="1" applyProtection="1"/>
    <xf numFmtId="3" fontId="21" fillId="0" borderId="49" xfId="791" applyNumberFormat="1" applyFont="1" applyFill="1" applyBorder="1" applyAlignment="1" applyProtection="1">
      <alignment horizontal="center" wrapText="1"/>
    </xf>
    <xf numFmtId="3" fontId="21" fillId="0" borderId="11" xfId="791" applyNumberFormat="1" applyFont="1" applyFill="1" applyBorder="1" applyAlignment="1" applyProtection="1">
      <alignment horizontal="center" wrapText="1"/>
    </xf>
    <xf numFmtId="3" fontId="21" fillId="0" borderId="48" xfId="791" applyNumberFormat="1" applyFont="1" applyFill="1" applyBorder="1" applyAlignment="1" applyProtection="1">
      <alignment horizontal="center" wrapText="1"/>
    </xf>
    <xf numFmtId="0" fontId="13" fillId="0" borderId="50" xfId="1123" quotePrefix="1" applyFont="1" applyBorder="1" applyAlignment="1" applyProtection="1">
      <alignment horizontal="left"/>
    </xf>
    <xf numFmtId="173" fontId="85" fillId="27" borderId="51" xfId="0" applyNumberFormat="1" applyFont="1" applyFill="1" applyBorder="1" applyProtection="1"/>
    <xf numFmtId="173" fontId="85" fillId="27" borderId="0" xfId="0" applyNumberFormat="1" applyFont="1" applyFill="1" applyBorder="1" applyProtection="1"/>
    <xf numFmtId="173" fontId="85" fillId="27" borderId="50" xfId="0" applyNumberFormat="1" applyFont="1" applyFill="1" applyBorder="1" applyProtection="1"/>
    <xf numFmtId="0" fontId="13" fillId="0" borderId="50" xfId="1123" applyFont="1" applyBorder="1" applyProtection="1"/>
    <xf numFmtId="0" fontId="13" fillId="0" borderId="49" xfId="760" applyNumberFormat="1" applyFont="1" applyBorder="1" applyAlignment="1" applyProtection="1">
      <alignment horizontal="center"/>
    </xf>
    <xf numFmtId="0" fontId="13" fillId="0" borderId="48" xfId="1123" applyFont="1" applyBorder="1" applyProtection="1"/>
    <xf numFmtId="0" fontId="13" fillId="0" borderId="66" xfId="760" applyNumberFormat="1" applyFont="1" applyBorder="1" applyAlignment="1" applyProtection="1">
      <alignment horizontal="center"/>
    </xf>
    <xf numFmtId="0" fontId="13" fillId="0" borderId="0" xfId="1123" applyFont="1" applyProtection="1"/>
    <xf numFmtId="37" fontId="13" fillId="0" borderId="0" xfId="1123" applyNumberFormat="1" applyFont="1" applyProtection="1"/>
    <xf numFmtId="172" fontId="13" fillId="0" borderId="0" xfId="1124" applyFont="1" applyAlignment="1" applyProtection="1"/>
    <xf numFmtId="3" fontId="21" fillId="0" borderId="0" xfId="791" applyNumberFormat="1" applyFont="1" applyFill="1" applyBorder="1" applyAlignment="1" applyProtection="1">
      <alignment horizontal="center" wrapText="1"/>
    </xf>
    <xf numFmtId="173" fontId="85" fillId="27" borderId="2" xfId="0" applyNumberFormat="1" applyFont="1" applyFill="1" applyBorder="1" applyProtection="1"/>
    <xf numFmtId="173" fontId="85" fillId="27" borderId="52" xfId="0" applyNumberFormat="1" applyFont="1" applyFill="1" applyBorder="1" applyProtection="1"/>
    <xf numFmtId="0" fontId="13" fillId="0" borderId="0" xfId="1125" applyFont="1" applyProtection="1"/>
    <xf numFmtId="0" fontId="10" fillId="0" borderId="0" xfId="1123" applyFont="1" applyProtection="1"/>
    <xf numFmtId="0" fontId="13" fillId="0" borderId="0" xfId="760" applyNumberFormat="1" applyFont="1" applyBorder="1" applyAlignment="1" applyProtection="1">
      <alignment horizontal="center" wrapText="1"/>
    </xf>
    <xf numFmtId="0" fontId="10" fillId="0" borderId="11" xfId="1123" applyFont="1" applyBorder="1" applyProtection="1"/>
    <xf numFmtId="0" fontId="10" fillId="0" borderId="11" xfId="1123" applyFont="1" applyBorder="1" applyAlignment="1" applyProtection="1">
      <alignment horizontal="center" wrapText="1"/>
    </xf>
    <xf numFmtId="0" fontId="10" fillId="0" borderId="2" xfId="1123" applyFont="1" applyBorder="1" applyAlignment="1" applyProtection="1">
      <alignment horizontal="center"/>
    </xf>
    <xf numFmtId="0" fontId="13" fillId="0" borderId="0" xfId="760" applyAlignment="1" applyProtection="1">
      <alignment horizontal="center"/>
    </xf>
    <xf numFmtId="0" fontId="85" fillId="27" borderId="0" xfId="198" applyNumberFormat="1" applyFont="1" applyFill="1" applyBorder="1" applyProtection="1"/>
    <xf numFmtId="0" fontId="13" fillId="0" borderId="15" xfId="760" applyFont="1" applyBorder="1" applyAlignment="1" applyProtection="1"/>
    <xf numFmtId="173" fontId="13" fillId="0" borderId="15" xfId="760" applyNumberFormat="1" applyFont="1" applyBorder="1" applyAlignment="1" applyProtection="1"/>
    <xf numFmtId="0" fontId="160" fillId="0" borderId="0" xfId="760" applyNumberFormat="1" applyFont="1" applyAlignment="1" applyProtection="1">
      <alignment horizontal="center"/>
    </xf>
    <xf numFmtId="0" fontId="14" fillId="0" borderId="0" xfId="760" applyNumberFormat="1" applyFont="1" applyAlignment="1" applyProtection="1">
      <alignment horizontal="center"/>
    </xf>
    <xf numFmtId="0" fontId="13" fillId="0" borderId="0" xfId="760" applyProtection="1"/>
    <xf numFmtId="0" fontId="13" fillId="0" borderId="48" xfId="1123" applyFont="1" applyBorder="1" applyAlignment="1" applyProtection="1">
      <alignment horizontal="left"/>
    </xf>
    <xf numFmtId="0" fontId="10" fillId="0" borderId="0" xfId="1123" applyFont="1" applyBorder="1" applyAlignment="1" applyProtection="1">
      <alignment wrapText="1"/>
    </xf>
    <xf numFmtId="0" fontId="5" fillId="0" borderId="0" xfId="760" applyNumberFormat="1" applyFont="1" applyAlignment="1" applyProtection="1">
      <alignment horizontal="center"/>
    </xf>
    <xf numFmtId="0" fontId="5" fillId="0" borderId="0" xfId="1123" applyFont="1" applyProtection="1"/>
    <xf numFmtId="37" fontId="5" fillId="0" borderId="0" xfId="1123" applyNumberFormat="1" applyFont="1" applyProtection="1"/>
    <xf numFmtId="0" fontId="5" fillId="0" borderId="0" xfId="760" applyFont="1" applyAlignment="1" applyProtection="1"/>
    <xf numFmtId="170" fontId="5" fillId="0" borderId="14" xfId="1124" applyNumberFormat="1" applyFont="1" applyBorder="1" applyAlignment="1" applyProtection="1"/>
    <xf numFmtId="172" fontId="5" fillId="0" borderId="0" xfId="1124" applyFont="1" applyAlignment="1" applyProtection="1"/>
    <xf numFmtId="0" fontId="5" fillId="0" borderId="0" xfId="1125" applyFont="1" applyProtection="1"/>
    <xf numFmtId="0" fontId="5" fillId="0" borderId="0" xfId="760" applyFont="1" applyProtection="1"/>
    <xf numFmtId="0" fontId="158" fillId="0" borderId="0" xfId="0" applyFont="1" applyAlignment="1" applyProtection="1"/>
    <xf numFmtId="0" fontId="13" fillId="0" borderId="0" xfId="0" applyFont="1" applyProtection="1"/>
    <xf numFmtId="3" fontId="9" fillId="0" borderId="0" xfId="198" applyNumberFormat="1" applyFont="1" applyFill="1" applyAlignment="1" applyProtection="1"/>
    <xf numFmtId="10" fontId="16" fillId="0" borderId="0" xfId="912" applyNumberFormat="1" applyFont="1" applyFill="1" applyAlignment="1" applyProtection="1">
      <alignment horizontal="center"/>
    </xf>
    <xf numFmtId="0" fontId="55" fillId="0" borderId="11" xfId="0" applyFont="1" applyBorder="1" applyAlignment="1" applyProtection="1">
      <alignment horizontal="center"/>
    </xf>
    <xf numFmtId="0" fontId="55" fillId="0" borderId="11" xfId="0" applyFont="1" applyBorder="1" applyProtection="1"/>
    <xf numFmtId="0" fontId="55" fillId="0" borderId="11" xfId="791" applyFont="1" applyFill="1" applyBorder="1" applyProtection="1"/>
    <xf numFmtId="173" fontId="55" fillId="0" borderId="11" xfId="276" applyNumberFormat="1" applyFont="1" applyFill="1" applyBorder="1" applyAlignment="1" applyProtection="1">
      <alignment horizontal="center"/>
    </xf>
    <xf numFmtId="0" fontId="55" fillId="0" borderId="0" xfId="791" applyFont="1" applyAlignment="1" applyProtection="1">
      <alignment horizontal="center"/>
    </xf>
    <xf numFmtId="0" fontId="32" fillId="0" borderId="0" xfId="791" applyFont="1" applyAlignment="1" applyProtection="1"/>
    <xf numFmtId="0" fontId="55" fillId="0" borderId="0" xfId="791" applyFont="1" applyProtection="1"/>
    <xf numFmtId="0" fontId="55" fillId="0" borderId="0" xfId="0" applyNumberFormat="1" applyFont="1" applyAlignment="1" applyProtection="1">
      <alignment horizontal="center"/>
    </xf>
    <xf numFmtId="0" fontId="55" fillId="0" borderId="0" xfId="877" applyNumberFormat="1" applyFont="1" applyAlignment="1" applyProtection="1"/>
    <xf numFmtId="0" fontId="55" fillId="0" borderId="0" xfId="0" applyFont="1" applyAlignment="1" applyProtection="1"/>
    <xf numFmtId="0" fontId="55" fillId="0" borderId="0" xfId="0" applyFont="1" applyAlignment="1" applyProtection="1">
      <alignment vertical="top"/>
    </xf>
    <xf numFmtId="0" fontId="55" fillId="0" borderId="0" xfId="0" applyFont="1" applyFill="1" applyAlignment="1" applyProtection="1"/>
    <xf numFmtId="0" fontId="13" fillId="0" borderId="0" xfId="0" applyFont="1" applyFill="1" applyProtection="1"/>
    <xf numFmtId="0" fontId="55" fillId="0" borderId="0" xfId="0" applyFont="1" applyFill="1" applyAlignment="1" applyProtection="1">
      <alignment vertical="top"/>
    </xf>
    <xf numFmtId="0" fontId="123" fillId="0" borderId="0" xfId="0" applyFont="1" applyFill="1" applyAlignment="1" applyProtection="1"/>
    <xf numFmtId="0" fontId="55" fillId="0" borderId="0" xfId="0" applyFont="1" applyProtection="1"/>
    <xf numFmtId="0" fontId="81" fillId="0" borderId="0" xfId="0" applyFont="1" applyProtection="1"/>
    <xf numFmtId="0" fontId="158" fillId="0" borderId="0" xfId="878" applyFont="1" applyFill="1" applyAlignment="1" applyProtection="1"/>
    <xf numFmtId="0" fontId="13" fillId="0" borderId="0" xfId="878" applyFont="1" applyFill="1" applyAlignment="1" applyProtection="1">
      <alignment horizontal="center"/>
    </xf>
    <xf numFmtId="0" fontId="13" fillId="0" borderId="0" xfId="878" applyFont="1" applyFill="1" applyProtection="1"/>
    <xf numFmtId="0" fontId="9" fillId="0" borderId="0" xfId="0" quotePrefix="1" applyFont="1" applyFill="1" applyAlignment="1" applyProtection="1">
      <alignment horizontal="left"/>
    </xf>
    <xf numFmtId="0" fontId="12" fillId="0" borderId="0" xfId="0" applyFont="1" applyFill="1" applyAlignment="1" applyProtection="1">
      <alignment horizontal="center"/>
    </xf>
    <xf numFmtId="0" fontId="7" fillId="0" borderId="0" xfId="878" applyFont="1" applyFill="1" applyAlignment="1" applyProtection="1">
      <alignment horizontal="left"/>
    </xf>
    <xf numFmtId="0" fontId="12" fillId="0" borderId="0" xfId="0" applyFont="1" applyFill="1" applyProtection="1"/>
    <xf numFmtId="0" fontId="10" fillId="0" borderId="0" xfId="878" applyFont="1" applyFill="1" applyBorder="1" applyAlignment="1" applyProtection="1">
      <alignment horizontal="left"/>
    </xf>
    <xf numFmtId="0" fontId="10" fillId="0" borderId="0" xfId="878" applyFont="1" applyFill="1" applyAlignment="1" applyProtection="1">
      <alignment horizontal="center"/>
    </xf>
    <xf numFmtId="9" fontId="10" fillId="0" borderId="0" xfId="878" applyNumberFormat="1" applyFont="1" applyFill="1" applyAlignment="1" applyProtection="1">
      <alignment horizontal="center"/>
    </xf>
    <xf numFmtId="9" fontId="10" fillId="0" borderId="0" xfId="878" quotePrefix="1" applyNumberFormat="1" applyFont="1" applyFill="1" applyAlignment="1" applyProtection="1">
      <alignment horizontal="center"/>
    </xf>
    <xf numFmtId="0" fontId="10" fillId="0" borderId="0" xfId="878" applyFont="1" applyFill="1" applyBorder="1" applyProtection="1"/>
    <xf numFmtId="0" fontId="18" fillId="0" borderId="0" xfId="878" applyFont="1" applyFill="1" applyAlignment="1" applyProtection="1">
      <alignment horizontal="center"/>
    </xf>
    <xf numFmtId="0" fontId="32" fillId="0" borderId="0" xfId="878" applyFont="1" applyFill="1" applyAlignment="1" applyProtection="1">
      <alignment horizontal="left"/>
    </xf>
    <xf numFmtId="0" fontId="11" fillId="0" borderId="0" xfId="878" applyFont="1" applyFill="1" applyAlignment="1" applyProtection="1">
      <alignment horizontal="left"/>
    </xf>
    <xf numFmtId="0" fontId="11" fillId="0" borderId="0" xfId="878" applyFont="1" applyFill="1" applyAlignment="1" applyProtection="1">
      <alignment horizontal="center"/>
    </xf>
    <xf numFmtId="38" fontId="13" fillId="0" borderId="0" xfId="0" quotePrefix="1" applyNumberFormat="1" applyFont="1" applyFill="1" applyBorder="1" applyAlignment="1" applyProtection="1">
      <alignment horizontal="center"/>
    </xf>
    <xf numFmtId="38" fontId="13" fillId="0" borderId="0" xfId="0" applyNumberFormat="1" applyFont="1" applyFill="1" applyBorder="1" applyAlignment="1" applyProtection="1"/>
    <xf numFmtId="41" fontId="13" fillId="0" borderId="0" xfId="878" applyNumberFormat="1" applyFont="1" applyFill="1" applyBorder="1" applyProtection="1"/>
    <xf numFmtId="0" fontId="13" fillId="0" borderId="0" xfId="878" applyFont="1" applyFill="1" applyAlignment="1" applyProtection="1">
      <alignment horizontal="center" vertical="top"/>
    </xf>
    <xf numFmtId="0" fontId="17" fillId="0" borderId="0" xfId="878" applyFont="1" applyFill="1" applyAlignment="1" applyProtection="1">
      <alignment horizontal="center"/>
    </xf>
    <xf numFmtId="41" fontId="13" fillId="0" borderId="11" xfId="878" applyNumberFormat="1" applyFont="1" applyFill="1" applyBorder="1" applyProtection="1"/>
    <xf numFmtId="41" fontId="13" fillId="0" borderId="11" xfId="878" applyNumberFormat="1" applyFont="1" applyFill="1" applyBorder="1" applyAlignment="1" applyProtection="1">
      <alignment vertical="top"/>
    </xf>
    <xf numFmtId="41" fontId="13" fillId="0" borderId="0" xfId="878" applyNumberFormat="1" applyFont="1" applyFill="1" applyProtection="1"/>
    <xf numFmtId="37" fontId="13" fillId="0" borderId="0" xfId="878" applyNumberFormat="1" applyFont="1" applyFill="1" applyProtection="1"/>
    <xf numFmtId="37" fontId="13" fillId="0" borderId="0" xfId="0" applyNumberFormat="1" applyFont="1" applyFill="1" applyProtection="1"/>
    <xf numFmtId="38" fontId="13" fillId="0" borderId="0" xfId="0" applyNumberFormat="1" applyFont="1" applyFill="1" applyProtection="1"/>
    <xf numFmtId="0" fontId="132" fillId="0" borderId="0" xfId="878" applyFont="1" applyFill="1" applyAlignment="1" applyProtection="1">
      <alignment horizontal="center"/>
    </xf>
    <xf numFmtId="0" fontId="10" fillId="0" borderId="0" xfId="879" quotePrefix="1" applyFont="1" applyFill="1" applyBorder="1" applyProtection="1"/>
    <xf numFmtId="41" fontId="132" fillId="0" borderId="0" xfId="878" applyNumberFormat="1" applyFont="1" applyFill="1" applyProtection="1"/>
    <xf numFmtId="37" fontId="13" fillId="0" borderId="14" xfId="0" applyNumberFormat="1" applyFont="1" applyFill="1" applyBorder="1" applyProtection="1"/>
    <xf numFmtId="0" fontId="12" fillId="0" borderId="0" xfId="878" applyFont="1" applyFill="1" applyAlignment="1" applyProtection="1">
      <alignment horizontal="center"/>
    </xf>
    <xf numFmtId="0" fontId="10" fillId="0" borderId="0" xfId="878" applyFont="1" applyFill="1" applyBorder="1" applyAlignment="1" applyProtection="1">
      <alignment vertical="center"/>
    </xf>
    <xf numFmtId="37" fontId="13" fillId="0" borderId="0" xfId="878" applyNumberFormat="1" applyFont="1" applyFill="1" applyAlignment="1" applyProtection="1">
      <alignment vertical="center"/>
    </xf>
    <xf numFmtId="175" fontId="14" fillId="0" borderId="0" xfId="878" applyNumberFormat="1" applyFont="1" applyFill="1" applyAlignment="1" applyProtection="1">
      <alignment vertical="center"/>
    </xf>
    <xf numFmtId="37" fontId="10" fillId="0" borderId="12" xfId="878" applyNumberFormat="1" applyFont="1" applyFill="1" applyBorder="1" applyProtection="1"/>
    <xf numFmtId="0" fontId="9" fillId="0" borderId="0" xfId="878" applyFont="1" applyFill="1" applyAlignment="1" applyProtection="1">
      <alignment horizontal="center"/>
    </xf>
    <xf numFmtId="0" fontId="9" fillId="0" borderId="0" xfId="0" applyFont="1" applyFill="1" applyAlignment="1" applyProtection="1">
      <alignment horizontal="center"/>
    </xf>
    <xf numFmtId="37" fontId="13" fillId="0" borderId="0" xfId="878" applyNumberFormat="1" applyFont="1" applyFill="1" applyBorder="1" applyProtection="1"/>
    <xf numFmtId="0" fontId="88" fillId="0" borderId="0" xfId="878" applyFont="1" applyFill="1" applyProtection="1"/>
    <xf numFmtId="185" fontId="13" fillId="0" borderId="0" xfId="0" quotePrefix="1" applyNumberFormat="1" applyFont="1" applyFill="1" applyBorder="1" applyAlignment="1" applyProtection="1">
      <alignment horizontal="center"/>
    </xf>
    <xf numFmtId="0" fontId="13" fillId="0" borderId="0" xfId="878" applyFont="1" applyFill="1" applyAlignment="1" applyProtection="1"/>
    <xf numFmtId="0" fontId="14" fillId="0" borderId="0" xfId="878" applyFont="1" applyFill="1" applyAlignment="1" applyProtection="1">
      <alignment horizontal="center"/>
    </xf>
    <xf numFmtId="0" fontId="91" fillId="0" borderId="0" xfId="878" applyFont="1" applyFill="1" applyAlignment="1" applyProtection="1">
      <alignment horizontal="center"/>
    </xf>
    <xf numFmtId="185" fontId="13" fillId="0" borderId="0" xfId="0" applyNumberFormat="1" applyFont="1" applyFill="1" applyBorder="1" applyAlignment="1" applyProtection="1">
      <alignment horizontal="center"/>
    </xf>
    <xf numFmtId="38" fontId="13" fillId="0" borderId="0" xfId="0" applyNumberFormat="1" applyFont="1" applyFill="1" applyBorder="1" applyAlignment="1" applyProtection="1">
      <alignment horizontal="left"/>
    </xf>
    <xf numFmtId="43" fontId="13" fillId="27" borderId="0" xfId="198" applyFont="1" applyFill="1" applyBorder="1" applyProtection="1"/>
    <xf numFmtId="175" fontId="14" fillId="0" borderId="0" xfId="878" applyNumberFormat="1" applyFont="1" applyFill="1" applyAlignment="1" applyProtection="1">
      <alignment horizontal="center" vertical="center"/>
    </xf>
    <xf numFmtId="0" fontId="13" fillId="0" borderId="0" xfId="0" applyFont="1" applyFill="1" applyAlignment="1" applyProtection="1">
      <alignment horizontal="center"/>
    </xf>
    <xf numFmtId="0" fontId="158" fillId="0" borderId="0" xfId="0" applyFont="1" applyFill="1" applyAlignment="1" applyProtection="1"/>
    <xf numFmtId="43" fontId="13" fillId="0" borderId="0" xfId="198" applyFont="1" applyFill="1" applyProtection="1"/>
    <xf numFmtId="173" fontId="13" fillId="0" borderId="0" xfId="198" applyNumberFormat="1" applyFont="1" applyFill="1" applyProtection="1"/>
    <xf numFmtId="0" fontId="119" fillId="0" borderId="0" xfId="0" applyFont="1" applyFill="1" applyProtection="1"/>
    <xf numFmtId="0" fontId="89" fillId="0" borderId="0" xfId="878" applyFont="1" applyFill="1" applyAlignment="1" applyProtection="1">
      <alignment horizontal="left"/>
    </xf>
    <xf numFmtId="0" fontId="10" fillId="0" borderId="11" xfId="0" applyFont="1" applyFill="1" applyBorder="1" applyAlignment="1" applyProtection="1">
      <alignment horizontal="center"/>
    </xf>
    <xf numFmtId="0" fontId="10" fillId="0" borderId="0" xfId="0" applyFont="1" applyFill="1" applyAlignment="1" applyProtection="1">
      <alignment horizontal="center"/>
    </xf>
    <xf numFmtId="173" fontId="10" fillId="0" borderId="11" xfId="198" applyNumberFormat="1" applyFont="1" applyFill="1" applyBorder="1" applyAlignment="1" applyProtection="1">
      <alignment horizontal="center"/>
    </xf>
    <xf numFmtId="0" fontId="10" fillId="0" borderId="11" xfId="0" applyFont="1" applyFill="1" applyBorder="1" applyAlignment="1" applyProtection="1">
      <alignment horizontal="center" wrapText="1"/>
    </xf>
    <xf numFmtId="0" fontId="85" fillId="27" borderId="0" xfId="0" applyFont="1" applyFill="1" applyBorder="1" applyProtection="1"/>
    <xf numFmtId="43" fontId="134" fillId="0" borderId="0" xfId="231" applyBorder="1" applyProtection="1"/>
    <xf numFmtId="0" fontId="85" fillId="27" borderId="0" xfId="0" applyFont="1" applyFill="1" applyProtection="1"/>
    <xf numFmtId="0" fontId="85" fillId="0" borderId="0" xfId="0" applyFont="1" applyFill="1" applyProtection="1"/>
    <xf numFmtId="37" fontId="85" fillId="27" borderId="0" xfId="0" applyNumberFormat="1" applyFont="1" applyFill="1" applyProtection="1"/>
    <xf numFmtId="37" fontId="85" fillId="27" borderId="0" xfId="0" applyNumberFormat="1" applyFont="1" applyFill="1" applyAlignment="1" applyProtection="1">
      <alignment horizontal="center"/>
    </xf>
    <xf numFmtId="37" fontId="13" fillId="0" borderId="0" xfId="275" applyNumberFormat="1" applyFont="1" applyFill="1" applyProtection="1"/>
    <xf numFmtId="37" fontId="10" fillId="0" borderId="0" xfId="198" applyNumberFormat="1" applyFont="1" applyFill="1" applyBorder="1" applyProtection="1"/>
    <xf numFmtId="43" fontId="85" fillId="27" borderId="0" xfId="275" applyFont="1" applyFill="1" applyBorder="1" applyProtection="1"/>
    <xf numFmtId="43" fontId="13" fillId="0" borderId="0" xfId="275" applyFont="1" applyFill="1" applyBorder="1" applyProtection="1"/>
    <xf numFmtId="43" fontId="85" fillId="27" borderId="0" xfId="275" applyFont="1" applyFill="1" applyBorder="1" applyAlignment="1" applyProtection="1">
      <alignment horizontal="center"/>
    </xf>
    <xf numFmtId="43" fontId="85" fillId="27" borderId="0" xfId="275" applyFont="1" applyFill="1" applyBorder="1" applyAlignment="1" applyProtection="1">
      <alignment horizontal="left"/>
    </xf>
    <xf numFmtId="173" fontId="85" fillId="27" borderId="0" xfId="275" applyNumberFormat="1" applyFont="1" applyFill="1" applyBorder="1" applyProtection="1"/>
    <xf numFmtId="43" fontId="85" fillId="27" borderId="0" xfId="198" applyFont="1" applyFill="1" applyBorder="1" applyProtection="1"/>
    <xf numFmtId="43" fontId="13" fillId="0" borderId="0" xfId="198" applyFont="1" applyFill="1" applyBorder="1" applyProtection="1"/>
    <xf numFmtId="173" fontId="85" fillId="27" borderId="0" xfId="198" applyNumberFormat="1" applyFont="1" applyFill="1" applyBorder="1" applyProtection="1"/>
    <xf numFmtId="43" fontId="85" fillId="27" borderId="0" xfId="198" applyFont="1" applyFill="1" applyBorder="1" applyAlignment="1" applyProtection="1">
      <alignment horizontal="center"/>
    </xf>
    <xf numFmtId="0" fontId="13" fillId="0" borderId="0" xfId="0" applyFont="1" applyFill="1" applyAlignment="1" applyProtection="1">
      <alignment horizontal="left"/>
    </xf>
    <xf numFmtId="0" fontId="10" fillId="0" borderId="0" xfId="0" applyFont="1" applyFill="1" applyProtection="1"/>
    <xf numFmtId="37" fontId="10" fillId="0" borderId="14" xfId="198" applyNumberFormat="1" applyFont="1" applyFill="1" applyBorder="1" applyProtection="1"/>
    <xf numFmtId="0" fontId="13" fillId="0" borderId="0" xfId="0" quotePrefix="1" applyFont="1" applyFill="1" applyBorder="1" applyAlignment="1" applyProtection="1">
      <alignment horizontal="left" wrapText="1"/>
    </xf>
    <xf numFmtId="37" fontId="13" fillId="0" borderId="0" xfId="0" applyNumberFormat="1" applyFont="1" applyFill="1" applyAlignment="1" applyProtection="1">
      <alignment horizontal="left"/>
    </xf>
    <xf numFmtId="37" fontId="13" fillId="0" borderId="0" xfId="198" applyNumberFormat="1" applyFont="1" applyFill="1" applyProtection="1"/>
    <xf numFmtId="43" fontId="134" fillId="0" borderId="0" xfId="233" applyFill="1" applyBorder="1" applyProtection="1"/>
    <xf numFmtId="0" fontId="85" fillId="27" borderId="0" xfId="0" applyFont="1" applyFill="1" applyAlignment="1" applyProtection="1">
      <alignment horizontal="left"/>
    </xf>
    <xf numFmtId="0" fontId="85" fillId="27" borderId="0" xfId="0" applyFont="1" applyFill="1" applyBorder="1" applyAlignment="1" applyProtection="1">
      <alignment horizontal="left"/>
    </xf>
    <xf numFmtId="0" fontId="85" fillId="0" borderId="0" xfId="0" applyFont="1" applyFill="1" applyBorder="1" applyProtection="1"/>
    <xf numFmtId="0" fontId="0" fillId="0" borderId="0" xfId="0" applyFill="1" applyBorder="1" applyProtection="1"/>
    <xf numFmtId="0" fontId="85" fillId="0" borderId="0" xfId="0" applyFont="1" applyFill="1" applyAlignment="1" applyProtection="1">
      <alignment horizontal="left"/>
    </xf>
    <xf numFmtId="37" fontId="85" fillId="0" borderId="0" xfId="0" applyNumberFormat="1" applyFont="1" applyFill="1" applyProtection="1"/>
    <xf numFmtId="37" fontId="0" fillId="0" borderId="0" xfId="0" applyNumberFormat="1" applyFill="1" applyProtection="1"/>
    <xf numFmtId="37" fontId="10" fillId="0" borderId="14" xfId="0" applyNumberFormat="1" applyFont="1" applyFill="1" applyBorder="1" applyProtection="1"/>
    <xf numFmtId="0" fontId="10" fillId="0" borderId="0" xfId="0" applyFont="1" applyFill="1" applyAlignment="1" applyProtection="1">
      <alignment horizontal="right"/>
    </xf>
    <xf numFmtId="37" fontId="10" fillId="0" borderId="0" xfId="0" applyNumberFormat="1" applyFont="1" applyFill="1" applyBorder="1" applyProtection="1"/>
    <xf numFmtId="173" fontId="13" fillId="0" borderId="0" xfId="0" applyNumberFormat="1" applyFont="1" applyFill="1" applyProtection="1"/>
    <xf numFmtId="43" fontId="134" fillId="0" borderId="0" xfId="235" applyFill="1" applyBorder="1" applyProtection="1"/>
    <xf numFmtId="37" fontId="85" fillId="0" borderId="0" xfId="0" applyNumberFormat="1" applyFont="1" applyFill="1" applyAlignment="1" applyProtection="1">
      <alignment horizontal="center"/>
    </xf>
    <xf numFmtId="1" fontId="13" fillId="0" borderId="0" xfId="0" applyNumberFormat="1" applyFont="1" applyFill="1" applyAlignment="1" applyProtection="1">
      <alignment horizontal="left"/>
    </xf>
    <xf numFmtId="173" fontId="85" fillId="0" borderId="0" xfId="275" applyNumberFormat="1" applyFont="1" applyFill="1" applyBorder="1" applyProtection="1"/>
    <xf numFmtId="0" fontId="13" fillId="0" borderId="0" xfId="0" applyFont="1" applyFill="1" applyBorder="1" applyProtection="1"/>
    <xf numFmtId="173" fontId="13" fillId="0" borderId="0" xfId="198" applyNumberFormat="1" applyFont="1" applyFill="1" applyBorder="1" applyProtection="1"/>
    <xf numFmtId="37" fontId="97" fillId="0" borderId="0" xfId="311" applyNumberFormat="1" applyFill="1" applyProtection="1"/>
    <xf numFmtId="37" fontId="161" fillId="0" borderId="0" xfId="311" applyNumberFormat="1" applyFont="1" applyFill="1" applyProtection="1"/>
    <xf numFmtId="37" fontId="161" fillId="0" borderId="0" xfId="0" applyNumberFormat="1" applyFont="1" applyFill="1" applyProtection="1"/>
    <xf numFmtId="7" fontId="13" fillId="0" borderId="0" xfId="0" applyNumberFormat="1" applyFont="1" applyFill="1" applyProtection="1"/>
    <xf numFmtId="0" fontId="157" fillId="27" borderId="0" xfId="0" applyFont="1" applyFill="1" applyProtection="1"/>
    <xf numFmtId="37" fontId="13" fillId="0" borderId="0" xfId="0" applyNumberFormat="1" applyFont="1" applyFill="1" applyAlignment="1" applyProtection="1">
      <alignment horizontal="center"/>
    </xf>
    <xf numFmtId="37" fontId="97" fillId="0" borderId="0" xfId="311" applyNumberFormat="1" applyFill="1" applyBorder="1" applyProtection="1"/>
    <xf numFmtId="0" fontId="118" fillId="0" borderId="0" xfId="0" applyFont="1" applyFill="1" applyAlignment="1" applyProtection="1">
      <alignment horizontal="center"/>
    </xf>
    <xf numFmtId="37" fontId="85" fillId="27" borderId="0" xfId="311" applyNumberFormat="1" applyFont="1" applyFill="1" applyProtection="1"/>
    <xf numFmtId="0" fontId="13" fillId="0" borderId="0" xfId="0" quotePrefix="1" applyFont="1" applyFill="1" applyBorder="1" applyAlignment="1" applyProtection="1">
      <alignment horizontal="left"/>
    </xf>
    <xf numFmtId="0" fontId="85" fillId="27" borderId="0" xfId="0" applyFont="1" applyFill="1" applyBorder="1" applyAlignment="1" applyProtection="1"/>
    <xf numFmtId="37" fontId="13" fillId="0" borderId="0" xfId="198" applyNumberFormat="1" applyFont="1" applyFill="1" applyBorder="1" applyProtection="1"/>
    <xf numFmtId="0" fontId="19" fillId="0" borderId="0" xfId="0" applyFont="1" applyFill="1" applyAlignment="1" applyProtection="1">
      <alignment wrapText="1"/>
    </xf>
    <xf numFmtId="0" fontId="19" fillId="0" borderId="0" xfId="791" applyFont="1" applyFill="1" applyBorder="1" applyAlignment="1" applyProtection="1"/>
    <xf numFmtId="0" fontId="7" fillId="0" borderId="0" xfId="0" applyFont="1" applyFill="1" applyAlignment="1" applyProtection="1"/>
    <xf numFmtId="3" fontId="13" fillId="0" borderId="0" xfId="798" applyFont="1" applyFill="1" applyBorder="1" applyProtection="1"/>
    <xf numFmtId="3" fontId="13" fillId="0" borderId="0" xfId="798" applyFont="1" applyFill="1" applyBorder="1" applyAlignment="1" applyProtection="1">
      <alignment wrapText="1"/>
    </xf>
    <xf numFmtId="3" fontId="13" fillId="0" borderId="0" xfId="798" applyFont="1" applyFill="1" applyBorder="1" applyAlignment="1" applyProtection="1">
      <alignment horizontal="left" wrapText="1"/>
    </xf>
    <xf numFmtId="3" fontId="14" fillId="0" borderId="0" xfId="798" applyFont="1" applyFill="1" applyBorder="1" applyAlignment="1" applyProtection="1">
      <alignment horizontal="left"/>
    </xf>
    <xf numFmtId="3" fontId="13" fillId="0" borderId="0" xfId="798" applyFont="1" applyFill="1" applyBorder="1" applyAlignment="1" applyProtection="1">
      <alignment horizontal="center"/>
    </xf>
    <xf numFmtId="3" fontId="5" fillId="0" borderId="0" xfId="798" applyFont="1" applyFill="1" applyBorder="1" applyAlignment="1" applyProtection="1">
      <alignment horizontal="left"/>
    </xf>
    <xf numFmtId="3" fontId="13" fillId="0" borderId="0" xfId="798" applyFont="1" applyFill="1" applyBorder="1" applyAlignment="1" applyProtection="1">
      <alignment horizontal="left"/>
    </xf>
    <xf numFmtId="3" fontId="13" fillId="0" borderId="2" xfId="798" applyFont="1" applyFill="1" applyBorder="1" applyAlignment="1" applyProtection="1">
      <alignment horizontal="right" wrapText="1"/>
    </xf>
    <xf numFmtId="3" fontId="13" fillId="0" borderId="0" xfId="798" applyFont="1" applyFill="1" applyBorder="1" applyAlignment="1" applyProtection="1">
      <alignment horizontal="right" wrapText="1"/>
    </xf>
    <xf numFmtId="3" fontId="124" fillId="0" borderId="0" xfId="798" applyFont="1" applyFill="1" applyBorder="1" applyAlignment="1" applyProtection="1">
      <alignment horizontal="center" vertical="top" wrapText="1"/>
    </xf>
    <xf numFmtId="3" fontId="125" fillId="0" borderId="0" xfId="798" applyFont="1" applyFill="1" applyBorder="1" applyAlignment="1" applyProtection="1">
      <alignment horizontal="center" wrapText="1"/>
    </xf>
    <xf numFmtId="3" fontId="13" fillId="0" borderId="11" xfId="798" applyFont="1" applyFill="1" applyBorder="1" applyAlignment="1" applyProtection="1">
      <alignment horizontal="center" wrapText="1"/>
    </xf>
    <xf numFmtId="3" fontId="13" fillId="0" borderId="0" xfId="798" applyFont="1" applyFill="1" applyBorder="1" applyAlignment="1" applyProtection="1">
      <alignment horizontal="center" wrapText="1"/>
    </xf>
    <xf numFmtId="173" fontId="72" fillId="0" borderId="0" xfId="198" applyNumberFormat="1" applyFont="1" applyFill="1" applyBorder="1" applyAlignment="1" applyProtection="1">
      <alignment wrapText="1"/>
    </xf>
    <xf numFmtId="10" fontId="72" fillId="0" borderId="0" xfId="998" applyNumberFormat="1" applyFont="1" applyFill="1" applyBorder="1" applyAlignment="1" applyProtection="1">
      <alignment wrapText="1"/>
    </xf>
    <xf numFmtId="173" fontId="13" fillId="0" borderId="0" xfId="198" applyNumberFormat="1" applyFont="1" applyFill="1" applyBorder="1" applyAlignment="1" applyProtection="1">
      <alignment wrapText="1"/>
    </xf>
    <xf numFmtId="3" fontId="13" fillId="0" borderId="0" xfId="798" applyFont="1" applyFill="1" applyBorder="1" applyAlignment="1" applyProtection="1">
      <alignment vertical="top"/>
    </xf>
    <xf numFmtId="3" fontId="13" fillId="0" borderId="15" xfId="798" applyFont="1" applyFill="1" applyBorder="1" applyAlignment="1" applyProtection="1">
      <alignment vertical="top"/>
    </xf>
    <xf numFmtId="174" fontId="72" fillId="0" borderId="15" xfId="602" applyNumberFormat="1" applyFont="1" applyFill="1" applyBorder="1" applyAlignment="1" applyProtection="1">
      <alignment wrapText="1"/>
    </xf>
    <xf numFmtId="0" fontId="14" fillId="0" borderId="0" xfId="0" applyFont="1" applyAlignment="1" applyProtection="1">
      <alignment horizontal="center"/>
    </xf>
    <xf numFmtId="0" fontId="5" fillId="0" borderId="0" xfId="0" applyFont="1" applyAlignment="1" applyProtection="1">
      <alignment horizontal="center" vertical="top"/>
    </xf>
    <xf numFmtId="173" fontId="191" fillId="0" borderId="0" xfId="198" applyNumberFormat="1" applyFont="1" applyAlignment="1" applyProtection="1"/>
    <xf numFmtId="173" fontId="190" fillId="0" borderId="0" xfId="198" applyNumberFormat="1" applyFont="1" applyProtection="1"/>
    <xf numFmtId="173" fontId="190" fillId="0" borderId="0" xfId="198" applyNumberFormat="1" applyFont="1" applyFill="1" applyBorder="1" applyAlignment="1" applyProtection="1">
      <alignment horizontal="center"/>
    </xf>
    <xf numFmtId="173" fontId="191" fillId="0" borderId="0" xfId="198" applyNumberFormat="1" applyFont="1" applyFill="1" applyAlignment="1" applyProtection="1"/>
    <xf numFmtId="173" fontId="190" fillId="0" borderId="0" xfId="198" applyNumberFormat="1" applyFont="1" applyFill="1" applyBorder="1" applyProtection="1"/>
    <xf numFmtId="173" fontId="191" fillId="0" borderId="0" xfId="198" applyNumberFormat="1" applyFont="1" applyFill="1" applyBorder="1" applyAlignment="1" applyProtection="1"/>
    <xf numFmtId="173" fontId="192" fillId="0" borderId="0" xfId="198" applyNumberFormat="1" applyFont="1" applyFill="1" applyBorder="1" applyAlignment="1" applyProtection="1"/>
    <xf numFmtId="173" fontId="192" fillId="0" borderId="0" xfId="198" applyNumberFormat="1" applyFont="1" applyFill="1" applyAlignment="1" applyProtection="1"/>
    <xf numFmtId="173" fontId="190" fillId="0" borderId="0" xfId="198" applyNumberFormat="1" applyFont="1" applyAlignment="1" applyProtection="1">
      <alignment horizontal="center"/>
    </xf>
    <xf numFmtId="173" fontId="193" fillId="0" borderId="0" xfId="198" applyNumberFormat="1" applyFont="1" applyFill="1" applyAlignment="1" applyProtection="1">
      <alignment horizontal="center" wrapText="1"/>
    </xf>
    <xf numFmtId="173" fontId="193" fillId="0" borderId="0" xfId="198" applyNumberFormat="1" applyFont="1" applyFill="1" applyAlignment="1" applyProtection="1">
      <alignment horizontal="center"/>
    </xf>
    <xf numFmtId="173" fontId="193" fillId="0" borderId="11" xfId="198" applyNumberFormat="1" applyFont="1" applyFill="1" applyBorder="1" applyAlignment="1" applyProtection="1">
      <alignment horizontal="center"/>
    </xf>
    <xf numFmtId="0" fontId="190" fillId="0" borderId="0" xfId="198" applyNumberFormat="1" applyFont="1" applyAlignment="1" applyProtection="1">
      <alignment horizontal="center"/>
    </xf>
    <xf numFmtId="173" fontId="194" fillId="0" borderId="11" xfId="198" applyNumberFormat="1" applyFont="1" applyBorder="1" applyProtection="1"/>
    <xf numFmtId="173" fontId="190" fillId="0" borderId="11" xfId="198" applyNumberFormat="1" applyFont="1" applyBorder="1" applyAlignment="1" applyProtection="1">
      <alignment horizontal="center"/>
    </xf>
    <xf numFmtId="0" fontId="190" fillId="27" borderId="14" xfId="198" applyNumberFormat="1" applyFont="1" applyFill="1" applyBorder="1" applyAlignment="1" applyProtection="1">
      <alignment horizontal="center"/>
    </xf>
    <xf numFmtId="173" fontId="190" fillId="0" borderId="0" xfId="198" applyNumberFormat="1" applyFont="1" applyBorder="1" applyAlignment="1" applyProtection="1">
      <alignment horizontal="left" wrapText="1"/>
    </xf>
    <xf numFmtId="173" fontId="190" fillId="27" borderId="0" xfId="198" applyNumberFormat="1" applyFont="1" applyFill="1" applyBorder="1" applyAlignment="1" applyProtection="1">
      <alignment horizontal="center"/>
    </xf>
    <xf numFmtId="173" fontId="5" fillId="27" borderId="0" xfId="198" applyNumberFormat="1" applyFont="1" applyFill="1" applyBorder="1" applyAlignment="1" applyProtection="1">
      <alignment horizontal="center"/>
    </xf>
    <xf numFmtId="173" fontId="5" fillId="0" borderId="0" xfId="198" applyNumberFormat="1" applyFont="1" applyFill="1" applyBorder="1" applyAlignment="1" applyProtection="1">
      <alignment horizontal="center"/>
    </xf>
    <xf numFmtId="173" fontId="190" fillId="0" borderId="2" xfId="198" applyNumberFormat="1" applyFont="1" applyBorder="1" applyAlignment="1" applyProtection="1">
      <alignment horizontal="left" wrapText="1"/>
    </xf>
    <xf numFmtId="173" fontId="190" fillId="0" borderId="2" xfId="198" applyNumberFormat="1" applyFont="1" applyBorder="1" applyAlignment="1" applyProtection="1">
      <alignment horizontal="center"/>
    </xf>
    <xf numFmtId="173" fontId="190" fillId="0" borderId="2" xfId="198" applyNumberFormat="1" applyFont="1" applyBorder="1" applyProtection="1"/>
    <xf numFmtId="173" fontId="190" fillId="0" borderId="0" xfId="198" applyNumberFormat="1" applyFont="1" applyBorder="1" applyAlignment="1" applyProtection="1">
      <alignment horizontal="left"/>
    </xf>
    <xf numFmtId="173" fontId="190" fillId="0" borderId="0" xfId="198" applyNumberFormat="1" applyFont="1" applyBorder="1" applyProtection="1"/>
    <xf numFmtId="0" fontId="190" fillId="27" borderId="11" xfId="198" applyNumberFormat="1" applyFont="1" applyFill="1" applyBorder="1" applyAlignment="1" applyProtection="1">
      <alignment horizontal="center"/>
    </xf>
    <xf numFmtId="0" fontId="190" fillId="0" borderId="0" xfId="0" applyFont="1" applyProtection="1"/>
    <xf numFmtId="173" fontId="190" fillId="0" borderId="0" xfId="198" applyNumberFormat="1" applyFont="1" applyFill="1" applyAlignment="1" applyProtection="1">
      <alignment horizontal="center"/>
    </xf>
    <xf numFmtId="173" fontId="190" fillId="0" borderId="2" xfId="198" applyNumberFormat="1" applyFont="1" applyFill="1" applyBorder="1" applyAlignment="1" applyProtection="1">
      <alignment horizontal="center"/>
    </xf>
    <xf numFmtId="173" fontId="190" fillId="0" borderId="11" xfId="198" applyNumberFormat="1" applyFont="1" applyBorder="1" applyProtection="1"/>
    <xf numFmtId="0" fontId="158" fillId="0" borderId="0" xfId="791" applyFont="1" applyFill="1" applyBorder="1" applyAlignment="1" applyProtection="1"/>
    <xf numFmtId="0" fontId="13" fillId="0" borderId="0" xfId="791" applyFont="1" applyFill="1" applyBorder="1" applyProtection="1"/>
    <xf numFmtId="0" fontId="55" fillId="0" borderId="0" xfId="791" applyFont="1" applyFill="1" applyBorder="1" applyProtection="1"/>
    <xf numFmtId="0" fontId="8" fillId="0" borderId="0" xfId="0" applyFont="1" applyFill="1" applyAlignment="1" applyProtection="1">
      <alignment horizontal="center"/>
    </xf>
    <xf numFmtId="49" fontId="8" fillId="0" borderId="0" xfId="878" applyNumberFormat="1" applyFont="1" applyFill="1" applyAlignment="1" applyProtection="1">
      <alignment horizontal="center"/>
    </xf>
    <xf numFmtId="0" fontId="8" fillId="0" borderId="0" xfId="791" applyFont="1" applyFill="1" applyBorder="1" applyAlignment="1" applyProtection="1">
      <alignment horizontal="center"/>
    </xf>
    <xf numFmtId="0" fontId="13" fillId="0" borderId="0" xfId="0" applyFont="1" applyFill="1" applyAlignment="1" applyProtection="1"/>
    <xf numFmtId="0" fontId="13" fillId="0" borderId="0" xfId="791" applyFont="1" applyFill="1" applyBorder="1" applyAlignment="1" applyProtection="1"/>
    <xf numFmtId="0" fontId="10" fillId="0" borderId="0" xfId="791" applyFont="1" applyFill="1" applyBorder="1" applyAlignment="1" applyProtection="1">
      <alignment horizontal="center"/>
    </xf>
    <xf numFmtId="0" fontId="10" fillId="0" borderId="0" xfId="791" applyFont="1" applyFill="1" applyBorder="1" applyAlignment="1" applyProtection="1">
      <alignment horizontal="left"/>
    </xf>
    <xf numFmtId="0" fontId="10" fillId="0" borderId="0" xfId="791" applyNumberFormat="1" applyFont="1" applyFill="1" applyBorder="1" applyAlignment="1" applyProtection="1">
      <alignment horizontal="left"/>
    </xf>
    <xf numFmtId="0" fontId="10" fillId="0" borderId="0" xfId="791" applyFont="1" applyFill="1" applyBorder="1" applyAlignment="1" applyProtection="1"/>
    <xf numFmtId="0" fontId="14" fillId="0" borderId="0" xfId="0" applyFont="1" applyFill="1" applyBorder="1" applyProtection="1"/>
    <xf numFmtId="3" fontId="14" fillId="0" borderId="0" xfId="791" applyNumberFormat="1" applyFont="1" applyFill="1" applyBorder="1" applyAlignment="1" applyProtection="1">
      <alignment horizontal="center"/>
    </xf>
    <xf numFmtId="0" fontId="10" fillId="0" borderId="0" xfId="791" applyNumberFormat="1" applyFont="1" applyFill="1" applyBorder="1" applyAlignment="1" applyProtection="1">
      <alignment horizontal="center"/>
    </xf>
    <xf numFmtId="0" fontId="13" fillId="0" borderId="0" xfId="791" applyFont="1" applyFill="1" applyBorder="1" applyAlignment="1" applyProtection="1">
      <alignment horizontal="center" wrapText="1"/>
    </xf>
    <xf numFmtId="0" fontId="18" fillId="0" borderId="0" xfId="878" applyFont="1" applyFill="1" applyAlignment="1" applyProtection="1">
      <alignment horizontal="center" wrapText="1"/>
    </xf>
    <xf numFmtId="0" fontId="13" fillId="0" borderId="0" xfId="791" applyNumberFormat="1" applyFont="1" applyFill="1" applyBorder="1" applyAlignment="1" applyProtection="1">
      <alignment horizontal="center"/>
    </xf>
    <xf numFmtId="0" fontId="18" fillId="0" borderId="0" xfId="791" applyFont="1" applyFill="1" applyBorder="1" applyAlignment="1" applyProtection="1">
      <alignment horizontal="center"/>
    </xf>
    <xf numFmtId="173" fontId="14" fillId="0" borderId="0" xfId="276" applyNumberFormat="1" applyFont="1" applyFill="1" applyBorder="1" applyAlignment="1" applyProtection="1">
      <alignment horizontal="right"/>
    </xf>
    <xf numFmtId="173" fontId="13" fillId="0" borderId="0" xfId="276" applyNumberFormat="1" applyFont="1" applyFill="1" applyBorder="1" applyAlignment="1" applyProtection="1">
      <alignment horizontal="left"/>
    </xf>
    <xf numFmtId="0" fontId="18" fillId="0" borderId="0" xfId="791" applyFont="1" applyFill="1" applyBorder="1" applyAlignment="1" applyProtection="1">
      <alignment horizontal="center" wrapText="1"/>
    </xf>
    <xf numFmtId="0" fontId="13" fillId="0" borderId="14" xfId="791" applyFont="1" applyFill="1" applyBorder="1" applyAlignment="1" applyProtection="1">
      <alignment horizontal="center" wrapText="1"/>
    </xf>
    <xf numFmtId="173" fontId="13" fillId="0" borderId="0" xfId="276" applyNumberFormat="1" applyFont="1" applyFill="1" applyBorder="1" applyAlignment="1" applyProtection="1">
      <alignment horizontal="right"/>
    </xf>
    <xf numFmtId="173" fontId="13" fillId="0" borderId="0" xfId="198" applyNumberFormat="1" applyFont="1" applyFill="1" applyBorder="1" applyAlignment="1" applyProtection="1">
      <alignment horizontal="center" wrapText="1"/>
    </xf>
    <xf numFmtId="3" fontId="5" fillId="0" borderId="0" xfId="791" applyNumberFormat="1" applyFont="1" applyFill="1" applyBorder="1" applyAlignment="1" applyProtection="1"/>
    <xf numFmtId="37" fontId="97" fillId="0" borderId="0" xfId="311" applyNumberFormat="1" applyProtection="1"/>
    <xf numFmtId="3" fontId="13" fillId="0" borderId="0" xfId="791" applyNumberFormat="1" applyFont="1" applyFill="1" applyBorder="1" applyAlignment="1" applyProtection="1"/>
    <xf numFmtId="173" fontId="13" fillId="0" borderId="0" xfId="198" applyNumberFormat="1" applyFont="1" applyFill="1" applyBorder="1" applyAlignment="1" applyProtection="1"/>
    <xf numFmtId="38" fontId="5" fillId="0" borderId="0" xfId="0" applyNumberFormat="1" applyFont="1" applyFill="1" applyBorder="1" applyAlignment="1" applyProtection="1"/>
    <xf numFmtId="0" fontId="13" fillId="0" borderId="0" xfId="878" applyFont="1" applyFill="1" applyAlignment="1" applyProtection="1">
      <alignment horizontal="left"/>
    </xf>
    <xf numFmtId="0" fontId="79" fillId="0" borderId="0" xfId="878" applyFont="1" applyFill="1" applyBorder="1" applyProtection="1"/>
    <xf numFmtId="0" fontId="13" fillId="0" borderId="0" xfId="791" applyFont="1" applyFill="1" applyBorder="1" applyAlignment="1" applyProtection="1">
      <alignment horizontal="left"/>
    </xf>
    <xf numFmtId="3" fontId="85" fillId="27" borderId="0" xfId="0" applyNumberFormat="1" applyFont="1" applyFill="1" applyProtection="1"/>
    <xf numFmtId="37" fontId="13" fillId="0" borderId="0" xfId="791" applyNumberFormat="1" applyFont="1" applyBorder="1" applyProtection="1"/>
    <xf numFmtId="37" fontId="85" fillId="27" borderId="0" xfId="276" applyNumberFormat="1" applyFont="1" applyFill="1" applyProtection="1"/>
    <xf numFmtId="0" fontId="85" fillId="27" borderId="0" xfId="0" quotePrefix="1" applyFont="1" applyFill="1" applyAlignment="1" applyProtection="1">
      <alignment horizontal="left" wrapText="1"/>
    </xf>
    <xf numFmtId="3" fontId="85" fillId="27" borderId="0" xfId="0" quotePrefix="1" applyNumberFormat="1" applyFont="1" applyFill="1" applyProtection="1"/>
    <xf numFmtId="0" fontId="85" fillId="27" borderId="0" xfId="0" applyNumberFormat="1" applyFont="1" applyFill="1" applyAlignment="1" applyProtection="1">
      <alignment horizontal="left"/>
    </xf>
    <xf numFmtId="37" fontId="13" fillId="0" borderId="0" xfId="311" applyNumberFormat="1" applyFont="1" applyFill="1" applyProtection="1"/>
    <xf numFmtId="37" fontId="13" fillId="0" borderId="0" xfId="791" applyNumberFormat="1" applyFont="1" applyFill="1" applyBorder="1" applyProtection="1"/>
    <xf numFmtId="37" fontId="85" fillId="0" borderId="0" xfId="276" applyNumberFormat="1" applyFont="1" applyFill="1" applyProtection="1"/>
    <xf numFmtId="49" fontId="85" fillId="27" borderId="0" xfId="0" applyNumberFormat="1" applyFont="1" applyFill="1" applyProtection="1"/>
    <xf numFmtId="0" fontId="13" fillId="0" borderId="0" xfId="791" applyFont="1" applyBorder="1" applyProtection="1"/>
    <xf numFmtId="3" fontId="85" fillId="27" borderId="0" xfId="0" applyNumberFormat="1" applyFont="1" applyFill="1" applyAlignment="1" applyProtection="1">
      <alignment horizontal="left"/>
    </xf>
    <xf numFmtId="49" fontId="157" fillId="27" borderId="0" xfId="0" applyNumberFormat="1" applyFont="1" applyFill="1" applyProtection="1"/>
    <xf numFmtId="3" fontId="157" fillId="27" borderId="0" xfId="0" applyNumberFormat="1" applyFont="1" applyFill="1" applyProtection="1"/>
    <xf numFmtId="37" fontId="157" fillId="0" borderId="0" xfId="791" applyNumberFormat="1" applyFont="1" applyBorder="1" applyProtection="1"/>
    <xf numFmtId="37" fontId="157" fillId="0" borderId="0" xfId="311" applyNumberFormat="1" applyFont="1" applyFill="1" applyProtection="1"/>
    <xf numFmtId="37" fontId="157" fillId="0" borderId="0" xfId="791" applyNumberFormat="1" applyFont="1" applyFill="1" applyBorder="1" applyProtection="1"/>
    <xf numFmtId="37" fontId="157" fillId="27" borderId="0" xfId="0" applyNumberFormat="1" applyFont="1" applyFill="1" applyProtection="1"/>
    <xf numFmtId="37" fontId="97" fillId="0" borderId="0" xfId="311" applyNumberFormat="1" applyFont="1" applyFill="1" applyProtection="1"/>
    <xf numFmtId="3" fontId="84" fillId="0" borderId="0" xfId="0" applyNumberFormat="1" applyFont="1" applyFill="1" applyProtection="1"/>
    <xf numFmtId="173" fontId="84" fillId="0" borderId="0" xfId="275" applyNumberFormat="1" applyFont="1" applyFill="1" applyProtection="1"/>
    <xf numFmtId="37" fontId="84" fillId="0" borderId="0" xfId="275" applyNumberFormat="1" applyFont="1" applyFill="1" applyProtection="1"/>
    <xf numFmtId="37" fontId="84" fillId="0" borderId="0" xfId="791" applyNumberFormat="1" applyFont="1" applyFill="1" applyBorder="1" applyProtection="1"/>
    <xf numFmtId="0" fontId="84" fillId="0" borderId="0" xfId="0" applyFont="1" applyFill="1" applyProtection="1"/>
    <xf numFmtId="38" fontId="13" fillId="0" borderId="17" xfId="0" applyNumberFormat="1" applyFont="1" applyFill="1" applyBorder="1" applyProtection="1"/>
    <xf numFmtId="37" fontId="13" fillId="0" borderId="17" xfId="0" applyNumberFormat="1" applyFont="1" applyFill="1" applyBorder="1" applyProtection="1"/>
    <xf numFmtId="173" fontId="13" fillId="0" borderId="17" xfId="198" applyNumberFormat="1" applyFont="1" applyFill="1" applyBorder="1" applyProtection="1"/>
    <xf numFmtId="38" fontId="13" fillId="0" borderId="0" xfId="0" quotePrefix="1" applyNumberFormat="1" applyFont="1" applyFill="1" applyBorder="1" applyAlignment="1" applyProtection="1">
      <alignment horizontal="right"/>
    </xf>
    <xf numFmtId="37" fontId="13" fillId="0" borderId="0" xfId="0" applyNumberFormat="1" applyFont="1" applyFill="1" applyBorder="1" applyProtection="1"/>
    <xf numFmtId="0" fontId="5" fillId="0" borderId="0" xfId="791" applyNumberFormat="1" applyFont="1" applyFill="1" applyBorder="1" applyAlignment="1" applyProtection="1">
      <alignment horizontal="center" vertical="top"/>
    </xf>
    <xf numFmtId="0" fontId="5" fillId="0" borderId="0" xfId="791" applyFont="1" applyFill="1" applyBorder="1" applyProtection="1"/>
    <xf numFmtId="0" fontId="13" fillId="0" borderId="0" xfId="791" applyFont="1" applyFill="1" applyBorder="1" applyAlignment="1" applyProtection="1">
      <alignment horizontal="center"/>
    </xf>
    <xf numFmtId="0" fontId="18" fillId="0" borderId="0" xfId="0" applyFont="1" applyFill="1" applyAlignment="1" applyProtection="1">
      <alignment horizontal="center"/>
    </xf>
    <xf numFmtId="0" fontId="80" fillId="0" borderId="0" xfId="0" applyFont="1" applyFill="1" applyAlignment="1" applyProtection="1">
      <alignment horizontal="center"/>
    </xf>
    <xf numFmtId="0" fontId="13" fillId="0" borderId="0" xfId="0" quotePrefix="1" applyFont="1" applyFill="1" applyAlignment="1" applyProtection="1">
      <alignment horizontal="left"/>
    </xf>
    <xf numFmtId="0" fontId="14" fillId="0" borderId="0" xfId="0" quotePrefix="1" applyFont="1" applyFill="1" applyAlignment="1" applyProtection="1">
      <alignment horizontal="left"/>
    </xf>
    <xf numFmtId="173" fontId="13" fillId="0" borderId="11" xfId="0" applyNumberFormat="1" applyFont="1" applyFill="1" applyBorder="1" applyProtection="1"/>
    <xf numFmtId="173" fontId="13" fillId="0" borderId="14" xfId="0" applyNumberFormat="1" applyFont="1" applyFill="1" applyBorder="1" applyProtection="1"/>
    <xf numFmtId="174" fontId="13" fillId="0" borderId="0" xfId="198" applyNumberFormat="1" applyFont="1" applyFill="1" applyProtection="1"/>
    <xf numFmtId="174" fontId="13" fillId="0" borderId="0" xfId="0" applyNumberFormat="1" applyFont="1" applyFill="1" applyProtection="1"/>
    <xf numFmtId="0" fontId="10" fillId="0" borderId="0" xfId="0" quotePrefix="1" applyFont="1" applyFill="1" applyAlignment="1" applyProtection="1">
      <alignment horizontal="left"/>
    </xf>
    <xf numFmtId="0" fontId="7" fillId="0" borderId="0" xfId="0" applyFont="1" applyFill="1" applyProtection="1"/>
    <xf numFmtId="0" fontId="18" fillId="0" borderId="0" xfId="879" applyFont="1" applyAlignment="1" applyProtection="1">
      <alignment horizontal="center"/>
    </xf>
    <xf numFmtId="0" fontId="58" fillId="0" borderId="0" xfId="0" applyFont="1" applyFill="1" applyProtection="1"/>
    <xf numFmtId="0" fontId="13" fillId="0" borderId="0" xfId="0" applyFont="1" applyFill="1" applyAlignment="1" applyProtection="1">
      <alignment wrapText="1"/>
    </xf>
    <xf numFmtId="0" fontId="9" fillId="0" borderId="0" xfId="0" applyFont="1" applyFill="1" applyAlignment="1" applyProtection="1">
      <alignment horizontal="left"/>
    </xf>
    <xf numFmtId="0" fontId="18" fillId="0" borderId="0" xfId="0" quotePrefix="1" applyFont="1" applyFill="1" applyAlignment="1" applyProtection="1">
      <alignment horizontal="left"/>
    </xf>
    <xf numFmtId="3" fontId="13" fillId="0" borderId="0" xfId="881" applyNumberFormat="1" applyFont="1" applyFill="1" applyAlignment="1" applyProtection="1"/>
    <xf numFmtId="10" fontId="13" fillId="0" borderId="0" xfId="881" applyNumberFormat="1" applyFont="1" applyFill="1" applyAlignment="1" applyProtection="1"/>
    <xf numFmtId="167" fontId="13" fillId="0" borderId="0" xfId="881" applyNumberFormat="1" applyFont="1" applyFill="1" applyAlignment="1" applyProtection="1"/>
    <xf numFmtId="43" fontId="13" fillId="0" borderId="0" xfId="198" applyFont="1" applyFill="1" applyAlignment="1" applyProtection="1"/>
    <xf numFmtId="172" fontId="13" fillId="0" borderId="0" xfId="881" applyFont="1" applyFill="1" applyBorder="1" applyAlignment="1" applyProtection="1"/>
    <xf numFmtId="0" fontId="13" fillId="0" borderId="18" xfId="0" quotePrefix="1" applyFont="1" applyFill="1" applyBorder="1" applyAlignment="1" applyProtection="1">
      <alignment horizontal="left"/>
    </xf>
    <xf numFmtId="0" fontId="13" fillId="0" borderId="21" xfId="0" applyFont="1" applyFill="1" applyBorder="1" applyProtection="1"/>
    <xf numFmtId="0" fontId="10" fillId="0" borderId="0" xfId="0" applyFont="1" applyFill="1" applyBorder="1" applyProtection="1"/>
    <xf numFmtId="173" fontId="55" fillId="27" borderId="0" xfId="198" applyNumberFormat="1" applyFont="1" applyFill="1" applyBorder="1" applyProtection="1"/>
    <xf numFmtId="0" fontId="13" fillId="0" borderId="0" xfId="198" applyNumberFormat="1" applyFont="1" applyFill="1" applyAlignment="1" applyProtection="1"/>
    <xf numFmtId="0" fontId="117" fillId="0" borderId="32" xfId="0" quotePrefix="1" applyFont="1" applyFill="1" applyBorder="1" applyAlignment="1" applyProtection="1">
      <alignment horizontal="right"/>
    </xf>
    <xf numFmtId="0" fontId="13" fillId="0" borderId="20" xfId="0" applyFont="1" applyFill="1" applyBorder="1" applyProtection="1"/>
    <xf numFmtId="10" fontId="13" fillId="0" borderId="0" xfId="881" applyNumberFormat="1" applyFont="1" applyFill="1" applyAlignment="1" applyProtection="1">
      <alignment horizontal="right"/>
    </xf>
    <xf numFmtId="3" fontId="10" fillId="0" borderId="0" xfId="881" applyNumberFormat="1" applyFont="1" applyFill="1" applyAlignment="1" applyProtection="1"/>
    <xf numFmtId="172" fontId="13" fillId="0" borderId="0" xfId="881" applyFont="1" applyFill="1" applyAlignment="1" applyProtection="1"/>
    <xf numFmtId="10" fontId="13" fillId="0" borderId="0" xfId="0" applyNumberFormat="1" applyFont="1" applyFill="1" applyProtection="1"/>
    <xf numFmtId="0" fontId="13" fillId="0" borderId="0" xfId="0" applyNumberFormat="1" applyFont="1" applyFill="1" applyAlignment="1" applyProtection="1">
      <alignment horizontal="center"/>
    </xf>
    <xf numFmtId="0" fontId="13" fillId="0" borderId="0" xfId="881" quotePrefix="1" applyNumberFormat="1" applyFont="1" applyFill="1" applyBorder="1" applyAlignment="1" applyProtection="1">
      <alignment horizontal="left"/>
    </xf>
    <xf numFmtId="173" fontId="117" fillId="0" borderId="32" xfId="198" applyNumberFormat="1" applyFont="1" applyFill="1" applyBorder="1" applyProtection="1"/>
    <xf numFmtId="3" fontId="14" fillId="0" borderId="0" xfId="881" applyNumberFormat="1" applyFont="1" applyFill="1" applyAlignment="1" applyProtection="1">
      <alignment horizontal="center"/>
    </xf>
    <xf numFmtId="10" fontId="14" fillId="0" borderId="0" xfId="881" applyNumberFormat="1" applyFont="1" applyFill="1" applyAlignment="1" applyProtection="1">
      <alignment horizontal="center"/>
    </xf>
    <xf numFmtId="172" fontId="19" fillId="0" borderId="19" xfId="881" applyFont="1" applyFill="1" applyBorder="1" applyAlignment="1" applyProtection="1">
      <alignment horizontal="left" wrapText="1"/>
    </xf>
    <xf numFmtId="172" fontId="19" fillId="0" borderId="0" xfId="881" applyFont="1" applyFill="1" applyBorder="1" applyAlignment="1" applyProtection="1">
      <alignment horizontal="left" wrapText="1"/>
    </xf>
    <xf numFmtId="172" fontId="19" fillId="0" borderId="20" xfId="881" applyFont="1" applyFill="1" applyBorder="1" applyAlignment="1" applyProtection="1">
      <alignment horizontal="left" wrapText="1"/>
    </xf>
    <xf numFmtId="175" fontId="117" fillId="0" borderId="32" xfId="899" applyNumberFormat="1" applyFont="1" applyFill="1" applyBorder="1" applyProtection="1"/>
    <xf numFmtId="0" fontId="13" fillId="0" borderId="22" xfId="0" applyFont="1" applyFill="1" applyBorder="1" applyProtection="1"/>
    <xf numFmtId="0" fontId="13" fillId="0" borderId="0" xfId="881" applyNumberFormat="1" applyFont="1" applyFill="1" applyBorder="1" applyAlignment="1" applyProtection="1">
      <alignment horizontal="right"/>
    </xf>
    <xf numFmtId="10" fontId="13" fillId="0" borderId="0" xfId="0" applyNumberFormat="1" applyFont="1" applyFill="1" applyAlignment="1" applyProtection="1">
      <alignment horizontal="center"/>
    </xf>
    <xf numFmtId="10" fontId="13" fillId="0" borderId="0" xfId="899" applyNumberFormat="1" applyFont="1" applyFill="1" applyAlignment="1" applyProtection="1">
      <alignment horizontal="center"/>
    </xf>
    <xf numFmtId="10" fontId="13" fillId="0" borderId="0" xfId="899" applyNumberFormat="1" applyFont="1" applyFill="1" applyAlignment="1" applyProtection="1"/>
    <xf numFmtId="169" fontId="13" fillId="0" borderId="0" xfId="881" applyNumberFormat="1" applyFont="1" applyFill="1" applyAlignment="1" applyProtection="1"/>
    <xf numFmtId="0" fontId="13" fillId="0" borderId="19" xfId="0" applyFont="1" applyFill="1" applyBorder="1" applyAlignment="1" applyProtection="1">
      <alignment wrapText="1"/>
    </xf>
    <xf numFmtId="0" fontId="13" fillId="0" borderId="0" xfId="0" applyFont="1" applyFill="1" applyBorder="1" applyAlignment="1" applyProtection="1">
      <alignment wrapText="1"/>
    </xf>
    <xf numFmtId="0" fontId="13" fillId="0" borderId="20" xfId="0" applyFont="1" applyFill="1" applyBorder="1" applyAlignment="1" applyProtection="1">
      <alignment wrapText="1"/>
    </xf>
    <xf numFmtId="166" fontId="13" fillId="0" borderId="0" xfId="881" applyNumberFormat="1" applyFont="1" applyFill="1" applyBorder="1" applyAlignment="1" applyProtection="1">
      <alignment horizontal="center"/>
    </xf>
    <xf numFmtId="41" fontId="13" fillId="0" borderId="0" xfId="881" applyNumberFormat="1" applyFont="1" applyFill="1" applyAlignment="1" applyProtection="1"/>
    <xf numFmtId="172" fontId="13" fillId="0" borderId="19" xfId="881" applyFont="1" applyFill="1" applyBorder="1" applyAlignment="1" applyProtection="1"/>
    <xf numFmtId="0" fontId="13" fillId="0" borderId="0" xfId="881" applyNumberFormat="1" applyFont="1" applyFill="1" applyBorder="1" applyAlignment="1" applyProtection="1">
      <alignment horizontal="center"/>
    </xf>
    <xf numFmtId="3" fontId="13" fillId="0" borderId="20" xfId="881" applyNumberFormat="1" applyFont="1" applyFill="1" applyBorder="1" applyAlignment="1" applyProtection="1"/>
    <xf numFmtId="41" fontId="13" fillId="0" borderId="0" xfId="881" applyNumberFormat="1" applyFont="1" applyFill="1" applyBorder="1" applyAlignment="1" applyProtection="1">
      <alignment horizontal="center"/>
    </xf>
    <xf numFmtId="10" fontId="14" fillId="0" borderId="0" xfId="899" applyNumberFormat="1" applyFont="1" applyFill="1" applyAlignment="1" applyProtection="1"/>
    <xf numFmtId="169" fontId="14" fillId="0" borderId="0" xfId="881" applyNumberFormat="1" applyFont="1" applyFill="1" applyAlignment="1" applyProtection="1"/>
    <xf numFmtId="0" fontId="13" fillId="0" borderId="19" xfId="0" applyFont="1" applyFill="1" applyBorder="1" applyProtection="1"/>
    <xf numFmtId="3" fontId="13" fillId="0" borderId="0" xfId="881" applyNumberFormat="1" applyFont="1" applyFill="1" applyAlignment="1" applyProtection="1">
      <alignment horizontal="right"/>
    </xf>
    <xf numFmtId="178" fontId="13" fillId="0" borderId="0" xfId="881" applyNumberFormat="1" applyFont="1" applyFill="1" applyAlignment="1" applyProtection="1"/>
    <xf numFmtId="166" fontId="13" fillId="0" borderId="34" xfId="881" applyNumberFormat="1" applyFont="1" applyFill="1" applyBorder="1" applyAlignment="1" applyProtection="1">
      <alignment horizontal="left"/>
    </xf>
    <xf numFmtId="0" fontId="13" fillId="0" borderId="6" xfId="881" applyNumberFormat="1" applyFont="1" applyFill="1" applyBorder="1" applyAlignment="1" applyProtection="1">
      <alignment horizontal="center"/>
    </xf>
    <xf numFmtId="173" fontId="13" fillId="0" borderId="6" xfId="881" applyNumberFormat="1" applyFont="1" applyFill="1" applyBorder="1" applyAlignment="1" applyProtection="1">
      <alignment horizontal="center"/>
    </xf>
    <xf numFmtId="174" fontId="13" fillId="0" borderId="27" xfId="0" applyNumberFormat="1" applyFont="1" applyFill="1" applyBorder="1" applyProtection="1"/>
    <xf numFmtId="0" fontId="13" fillId="0" borderId="23" xfId="0" applyFont="1" applyFill="1" applyBorder="1" applyProtection="1"/>
    <xf numFmtId="10" fontId="13" fillId="0" borderId="0" xfId="881" applyNumberFormat="1" applyFont="1" applyFill="1" applyAlignment="1" applyProtection="1">
      <alignment horizontal="left"/>
    </xf>
    <xf numFmtId="0" fontId="126" fillId="0" borderId="0" xfId="0" applyFont="1" applyFill="1" applyProtection="1"/>
    <xf numFmtId="41" fontId="13" fillId="0" borderId="0" xfId="881" applyNumberFormat="1" applyFont="1" applyFill="1" applyBorder="1" applyAlignment="1" applyProtection="1"/>
    <xf numFmtId="41" fontId="117" fillId="0" borderId="32" xfId="0" applyNumberFormat="1" applyFont="1" applyFill="1" applyBorder="1" applyProtection="1"/>
    <xf numFmtId="3" fontId="13" fillId="0" borderId="24" xfId="0" applyNumberFormat="1" applyFont="1" applyFill="1" applyBorder="1" applyProtection="1"/>
    <xf numFmtId="0" fontId="127" fillId="0" borderId="0" xfId="0" applyFont="1" applyFill="1" applyProtection="1"/>
    <xf numFmtId="10" fontId="117" fillId="0" borderId="19" xfId="0" applyNumberFormat="1" applyFont="1" applyFill="1" applyBorder="1" applyProtection="1"/>
    <xf numFmtId="41" fontId="117" fillId="0" borderId="19" xfId="0" applyNumberFormat="1" applyFont="1" applyFill="1" applyBorder="1" applyProtection="1"/>
    <xf numFmtId="41" fontId="13" fillId="0" borderId="0" xfId="881" quotePrefix="1" applyNumberFormat="1" applyFont="1" applyFill="1" applyBorder="1" applyAlignment="1" applyProtection="1"/>
    <xf numFmtId="41" fontId="13" fillId="0" borderId="0" xfId="881" applyNumberFormat="1" applyFont="1" applyFill="1" applyBorder="1" applyAlignment="1" applyProtection="1">
      <alignment horizontal="right"/>
    </xf>
    <xf numFmtId="177" fontId="13" fillId="0" borderId="11" xfId="881" applyNumberFormat="1" applyFont="1" applyFill="1" applyBorder="1" applyAlignment="1" applyProtection="1"/>
    <xf numFmtId="164" fontId="13" fillId="0" borderId="0" xfId="881" applyNumberFormat="1" applyFont="1" applyFill="1" applyBorder="1" applyAlignment="1" applyProtection="1">
      <alignment horizontal="left"/>
    </xf>
    <xf numFmtId="41" fontId="13" fillId="0" borderId="0" xfId="881" applyNumberFormat="1" applyFont="1" applyFill="1" applyAlignment="1" applyProtection="1">
      <alignment horizontal="center"/>
    </xf>
    <xf numFmtId="41" fontId="12" fillId="0" borderId="0" xfId="881" quotePrefix="1" applyNumberFormat="1" applyFont="1" applyFill="1" applyBorder="1" applyAlignment="1" applyProtection="1">
      <alignment horizontal="right" vertical="center"/>
    </xf>
    <xf numFmtId="41" fontId="12" fillId="0" borderId="0" xfId="881" quotePrefix="1" applyNumberFormat="1" applyFont="1" applyFill="1" applyBorder="1" applyAlignment="1" applyProtection="1">
      <alignment horizontal="left" vertical="center"/>
    </xf>
    <xf numFmtId="41" fontId="80" fillId="0" borderId="0" xfId="881" applyNumberFormat="1" applyFont="1" applyFill="1" applyBorder="1" applyAlignment="1" applyProtection="1">
      <alignment horizontal="center" vertical="center"/>
    </xf>
    <xf numFmtId="41" fontId="78" fillId="0" borderId="0" xfId="881" applyNumberFormat="1" applyFont="1" applyFill="1" applyBorder="1" applyAlignment="1" applyProtection="1"/>
    <xf numFmtId="3" fontId="13" fillId="0" borderId="0" xfId="881" applyNumberFormat="1" applyFont="1" applyFill="1" applyAlignment="1" applyProtection="1">
      <alignment vertical="center" wrapText="1"/>
    </xf>
    <xf numFmtId="41" fontId="13" fillId="0" borderId="0" xfId="881" applyNumberFormat="1" applyFont="1" applyFill="1" applyBorder="1" applyAlignment="1" applyProtection="1">
      <alignment vertical="center"/>
    </xf>
    <xf numFmtId="41" fontId="7" fillId="0" borderId="0" xfId="881" quotePrefix="1" applyNumberFormat="1" applyFont="1" applyFill="1" applyBorder="1" applyAlignment="1" applyProtection="1">
      <alignment horizontal="left"/>
    </xf>
    <xf numFmtId="41" fontId="80" fillId="0" borderId="0" xfId="881" applyNumberFormat="1" applyFont="1" applyFill="1" applyBorder="1" applyAlignment="1" applyProtection="1">
      <alignment horizontal="center"/>
    </xf>
    <xf numFmtId="41" fontId="13" fillId="0" borderId="0" xfId="881" applyNumberFormat="1" applyFont="1" applyFill="1" applyBorder="1" applyAlignment="1" applyProtection="1">
      <alignment horizontal="center" vertical="center"/>
    </xf>
    <xf numFmtId="41" fontId="13" fillId="0" borderId="0" xfId="881" applyNumberFormat="1" applyFont="1" applyFill="1" applyAlignment="1" applyProtection="1">
      <alignment horizontal="right"/>
    </xf>
    <xf numFmtId="10" fontId="13" fillId="0" borderId="0" xfId="0" applyNumberFormat="1" applyFont="1" applyFill="1" applyBorder="1" applyProtection="1"/>
    <xf numFmtId="41" fontId="13" fillId="0" borderId="0" xfId="0" applyNumberFormat="1" applyFont="1" applyFill="1" applyProtection="1"/>
    <xf numFmtId="10" fontId="117" fillId="0" borderId="0" xfId="899" applyNumberFormat="1" applyFont="1" applyFill="1" applyBorder="1" applyProtection="1"/>
    <xf numFmtId="0" fontId="13" fillId="0" borderId="50" xfId="0" applyFont="1" applyFill="1" applyBorder="1" applyProtection="1"/>
    <xf numFmtId="0" fontId="13" fillId="0" borderId="0" xfId="0" applyFont="1" applyFill="1" applyBorder="1" applyAlignment="1" applyProtection="1"/>
    <xf numFmtId="173" fontId="117" fillId="0" borderId="0" xfId="0" applyNumberFormat="1" applyFont="1" applyFill="1" applyBorder="1" applyProtection="1"/>
    <xf numFmtId="0" fontId="13" fillId="0" borderId="48" xfId="0" applyFont="1" applyFill="1" applyBorder="1" applyProtection="1"/>
    <xf numFmtId="41" fontId="13" fillId="0" borderId="2" xfId="881" applyNumberFormat="1" applyFont="1" applyFill="1" applyBorder="1" applyAlignment="1" applyProtection="1"/>
    <xf numFmtId="3" fontId="13" fillId="0" borderId="0" xfId="881" applyNumberFormat="1" applyFont="1" applyFill="1" applyBorder="1" applyAlignment="1" applyProtection="1"/>
    <xf numFmtId="0" fontId="18" fillId="0" borderId="0" xfId="775" quotePrefix="1" applyFont="1" applyAlignment="1" applyProtection="1">
      <alignment horizontal="left"/>
    </xf>
    <xf numFmtId="0" fontId="10" fillId="0" borderId="0" xfId="775" applyFont="1" applyProtection="1"/>
    <xf numFmtId="0" fontId="13" fillId="0" borderId="0" xfId="881" applyNumberFormat="1" applyFont="1" applyFill="1" applyBorder="1" applyProtection="1"/>
    <xf numFmtId="0" fontId="10" fillId="0" borderId="0" xfId="775" quotePrefix="1" applyFont="1" applyAlignment="1" applyProtection="1">
      <alignment horizontal="left"/>
    </xf>
    <xf numFmtId="0" fontId="13" fillId="0" borderId="0" xfId="775" applyFont="1" applyProtection="1"/>
    <xf numFmtId="3" fontId="13" fillId="0" borderId="0" xfId="881" applyNumberFormat="1" applyFont="1" applyFill="1" applyBorder="1" applyAlignment="1" applyProtection="1">
      <alignment horizontal="center"/>
    </xf>
    <xf numFmtId="173" fontId="85" fillId="0" borderId="38" xfId="0" applyNumberFormat="1" applyFont="1" applyBorder="1" applyProtection="1"/>
    <xf numFmtId="41" fontId="13" fillId="0" borderId="11" xfId="881" applyNumberFormat="1" applyFont="1" applyFill="1" applyBorder="1" applyAlignment="1" applyProtection="1"/>
    <xf numFmtId="173" fontId="85" fillId="0" borderId="28" xfId="0" applyNumberFormat="1" applyFont="1" applyBorder="1" applyProtection="1"/>
    <xf numFmtId="174" fontId="85" fillId="0" borderId="39" xfId="0" applyNumberFormat="1" applyFont="1" applyBorder="1" applyProtection="1"/>
    <xf numFmtId="10" fontId="13" fillId="0" borderId="0" xfId="881" applyNumberFormat="1" applyFont="1" applyFill="1" applyBorder="1" applyAlignment="1" applyProtection="1"/>
    <xf numFmtId="169" fontId="13" fillId="0" borderId="0" xfId="881" applyNumberFormat="1" applyFont="1" applyFill="1" applyBorder="1" applyAlignment="1" applyProtection="1"/>
    <xf numFmtId="169" fontId="10" fillId="0" borderId="0" xfId="881" applyNumberFormat="1" applyFont="1" applyFill="1" applyBorder="1" applyAlignment="1" applyProtection="1"/>
    <xf numFmtId="0" fontId="13" fillId="0" borderId="0" xfId="0" applyFont="1" applyFill="1" applyBorder="1" applyAlignment="1" applyProtection="1">
      <alignment horizontal="center"/>
    </xf>
    <xf numFmtId="41" fontId="13" fillId="0" borderId="0" xfId="0" applyNumberFormat="1" applyFont="1" applyFill="1" applyBorder="1" applyProtection="1"/>
    <xf numFmtId="41" fontId="14" fillId="0" borderId="11" xfId="881" applyNumberFormat="1" applyFont="1" applyFill="1" applyBorder="1" applyAlignment="1" applyProtection="1"/>
    <xf numFmtId="41" fontId="14" fillId="0" borderId="0" xfId="881" applyNumberFormat="1" applyFont="1" applyFill="1" applyBorder="1" applyAlignment="1" applyProtection="1"/>
    <xf numFmtId="41" fontId="13" fillId="0" borderId="11" xfId="0" applyNumberFormat="1" applyFont="1" applyFill="1" applyBorder="1" applyProtection="1"/>
    <xf numFmtId="41" fontId="14" fillId="0" borderId="0" xfId="0" applyNumberFormat="1" applyFont="1" applyFill="1" applyProtection="1"/>
    <xf numFmtId="10" fontId="13" fillId="0" borderId="11" xfId="0" applyNumberFormat="1" applyFont="1" applyFill="1" applyBorder="1" applyProtection="1"/>
    <xf numFmtId="9" fontId="13" fillId="27" borderId="0" xfId="899" applyFont="1" applyFill="1" applyAlignment="1" applyProtection="1">
      <alignment horizontal="right"/>
    </xf>
    <xf numFmtId="9" fontId="13" fillId="0" borderId="0" xfId="899" applyFont="1" applyFill="1" applyBorder="1" applyProtection="1"/>
    <xf numFmtId="173" fontId="13" fillId="0" borderId="11" xfId="198" applyNumberFormat="1" applyFont="1" applyFill="1" applyBorder="1" applyAlignment="1" applyProtection="1"/>
    <xf numFmtId="41" fontId="68" fillId="0" borderId="0" xfId="0" applyNumberFormat="1" applyFont="1" applyFill="1" applyProtection="1"/>
    <xf numFmtId="10" fontId="14" fillId="0" borderId="0" xfId="0" applyNumberFormat="1" applyFont="1" applyFill="1" applyProtection="1"/>
    <xf numFmtId="164" fontId="13" fillId="0" borderId="0" xfId="899" applyNumberFormat="1" applyFont="1" applyFill="1" applyProtection="1"/>
    <xf numFmtId="43" fontId="13" fillId="0" borderId="0" xfId="198" applyNumberFormat="1" applyFont="1" applyFill="1" applyProtection="1"/>
    <xf numFmtId="0" fontId="12" fillId="0" borderId="0" xfId="0" quotePrefix="1" applyFont="1" applyAlignment="1" applyProtection="1">
      <alignment horizontal="left"/>
    </xf>
    <xf numFmtId="0" fontId="13" fillId="0" borderId="0" xfId="0" applyFont="1" applyAlignment="1" applyProtection="1">
      <alignment horizontal="center"/>
    </xf>
    <xf numFmtId="10" fontId="13" fillId="0" borderId="0" xfId="0" applyNumberFormat="1" applyFont="1" applyProtection="1"/>
    <xf numFmtId="173" fontId="13" fillId="0" borderId="0" xfId="275" applyNumberFormat="1" applyFont="1" applyProtection="1"/>
    <xf numFmtId="0" fontId="13" fillId="0" borderId="0" xfId="0" applyFont="1" applyBorder="1" applyProtection="1"/>
    <xf numFmtId="0" fontId="19" fillId="0" borderId="0" xfId="0" applyFont="1" applyAlignment="1" applyProtection="1">
      <alignment horizontal="right"/>
    </xf>
    <xf numFmtId="0" fontId="19" fillId="0" borderId="0" xfId="0" applyFont="1" applyFill="1" applyAlignment="1" applyProtection="1">
      <alignment horizontal="right"/>
    </xf>
    <xf numFmtId="0" fontId="19" fillId="0" borderId="0" xfId="0" quotePrefix="1" applyFont="1" applyAlignment="1" applyProtection="1">
      <alignment horizontal="right"/>
    </xf>
    <xf numFmtId="173" fontId="13" fillId="0" borderId="0" xfId="275" applyNumberFormat="1" applyFont="1" applyBorder="1" applyProtection="1"/>
    <xf numFmtId="0" fontId="86" fillId="0" borderId="0" xfId="0" applyFont="1" applyProtection="1"/>
    <xf numFmtId="0" fontId="10" fillId="0" borderId="0" xfId="0" applyFont="1" applyAlignment="1" applyProtection="1">
      <alignment horizontal="left"/>
    </xf>
    <xf numFmtId="0" fontId="8" fillId="27" borderId="0" xfId="275" applyNumberFormat="1" applyFont="1" applyFill="1" applyAlignment="1" applyProtection="1">
      <alignment horizontal="left"/>
    </xf>
    <xf numFmtId="0" fontId="80" fillId="0" borderId="0" xfId="0" applyFont="1" applyProtection="1"/>
    <xf numFmtId="0" fontId="10" fillId="0" borderId="43" xfId="0" applyFont="1" applyBorder="1" applyProtection="1"/>
    <xf numFmtId="0" fontId="10" fillId="0" borderId="17" xfId="0" applyFont="1" applyBorder="1" applyProtection="1"/>
    <xf numFmtId="0" fontId="13" fillId="0" borderId="17" xfId="0" applyFont="1" applyBorder="1" applyProtection="1"/>
    <xf numFmtId="173" fontId="10" fillId="0" borderId="21" xfId="275" applyNumberFormat="1" applyFont="1" applyBorder="1" applyProtection="1"/>
    <xf numFmtId="0" fontId="9" fillId="0" borderId="0" xfId="0" applyFont="1" applyAlignment="1" applyProtection="1">
      <alignment horizontal="left"/>
    </xf>
    <xf numFmtId="0" fontId="8" fillId="0" borderId="0" xfId="275" applyNumberFormat="1" applyFont="1" applyFill="1" applyAlignment="1" applyProtection="1">
      <alignment horizontal="left"/>
    </xf>
    <xf numFmtId="0" fontId="8" fillId="0" borderId="0" xfId="275" applyNumberFormat="1" applyFont="1" applyFill="1" applyBorder="1" applyAlignment="1" applyProtection="1">
      <alignment horizontal="left"/>
    </xf>
    <xf numFmtId="0" fontId="10" fillId="0" borderId="19" xfId="0" applyFont="1" applyBorder="1" applyProtection="1"/>
    <xf numFmtId="0" fontId="9" fillId="0" borderId="0" xfId="275" applyNumberFormat="1" applyFont="1" applyFill="1" applyBorder="1" applyAlignment="1" applyProtection="1">
      <alignment horizontal="left"/>
    </xf>
    <xf numFmtId="173" fontId="10" fillId="0" borderId="25" xfId="275" applyNumberFormat="1" applyFont="1" applyBorder="1" applyProtection="1"/>
    <xf numFmtId="0" fontId="10" fillId="27" borderId="0" xfId="0" applyFont="1" applyFill="1" applyAlignment="1" applyProtection="1">
      <alignment horizontal="left"/>
    </xf>
    <xf numFmtId="173" fontId="10" fillId="0" borderId="34" xfId="275" applyNumberFormat="1" applyFont="1" applyBorder="1" applyProtection="1"/>
    <xf numFmtId="173" fontId="13" fillId="0" borderId="6" xfId="275" applyNumberFormat="1" applyFont="1" applyBorder="1" applyProtection="1"/>
    <xf numFmtId="173" fontId="13" fillId="0" borderId="27" xfId="275" applyNumberFormat="1" applyFont="1" applyBorder="1" applyProtection="1"/>
    <xf numFmtId="0" fontId="10" fillId="0" borderId="0" xfId="0" applyFont="1" applyFill="1" applyAlignment="1" applyProtection="1"/>
    <xf numFmtId="0" fontId="10" fillId="0" borderId="35" xfId="0" applyFont="1" applyFill="1" applyBorder="1" applyAlignment="1" applyProtection="1">
      <alignment horizontal="center"/>
    </xf>
    <xf numFmtId="0" fontId="10" fillId="29" borderId="36" xfId="0" applyFont="1" applyFill="1" applyBorder="1" applyAlignment="1" applyProtection="1">
      <alignment horizontal="center"/>
    </xf>
    <xf numFmtId="0" fontId="13" fillId="0" borderId="36" xfId="0" applyFont="1" applyFill="1" applyBorder="1" applyAlignment="1" applyProtection="1">
      <alignment horizontal="left"/>
    </xf>
    <xf numFmtId="0" fontId="10" fillId="0" borderId="36" xfId="0" applyFont="1" applyFill="1" applyBorder="1" applyAlignment="1" applyProtection="1">
      <alignment horizontal="center"/>
    </xf>
    <xf numFmtId="0" fontId="10" fillId="0" borderId="37" xfId="0" applyFont="1" applyFill="1" applyBorder="1" applyAlignment="1" applyProtection="1">
      <alignment horizontal="center"/>
    </xf>
    <xf numFmtId="0" fontId="10" fillId="0" borderId="0" xfId="0" applyFont="1" applyFill="1" applyBorder="1" applyAlignment="1" applyProtection="1">
      <alignment horizontal="center"/>
    </xf>
    <xf numFmtId="0" fontId="13" fillId="0" borderId="0" xfId="0" applyFont="1" applyBorder="1" applyAlignment="1" applyProtection="1"/>
    <xf numFmtId="0" fontId="13" fillId="0" borderId="19" xfId="0" quotePrefix="1" applyFont="1" applyFill="1" applyBorder="1" applyAlignment="1" applyProtection="1">
      <alignment horizontal="left"/>
    </xf>
    <xf numFmtId="173" fontId="13" fillId="27" borderId="20" xfId="275" applyNumberFormat="1" applyFont="1" applyFill="1" applyBorder="1" applyAlignment="1" applyProtection="1">
      <alignment horizontal="right"/>
    </xf>
    <xf numFmtId="0" fontId="13" fillId="0" borderId="0" xfId="0" applyFont="1" applyBorder="1" applyAlignment="1" applyProtection="1">
      <alignment horizontal="center"/>
    </xf>
    <xf numFmtId="0" fontId="10" fillId="0" borderId="21" xfId="0" applyFont="1" applyFill="1" applyBorder="1" applyAlignment="1" applyProtection="1">
      <alignment horizontal="center"/>
    </xf>
    <xf numFmtId="0" fontId="13" fillId="27" borderId="20" xfId="0" applyFont="1" applyFill="1" applyBorder="1" applyAlignment="1" applyProtection="1">
      <alignment horizontal="right"/>
    </xf>
    <xf numFmtId="173" fontId="13" fillId="0" borderId="20" xfId="0" applyNumberFormat="1" applyFont="1" applyFill="1" applyBorder="1" applyAlignment="1" applyProtection="1">
      <alignment horizontal="right"/>
    </xf>
    <xf numFmtId="173" fontId="13" fillId="0" borderId="0" xfId="0" applyNumberFormat="1" applyFont="1" applyFill="1" applyBorder="1" applyAlignment="1" applyProtection="1">
      <alignment horizontal="right"/>
    </xf>
    <xf numFmtId="10" fontId="13" fillId="0" borderId="20" xfId="0" applyNumberFormat="1" applyFont="1" applyBorder="1" applyProtection="1"/>
    <xf numFmtId="10" fontId="13" fillId="0" borderId="0" xfId="0" applyNumberFormat="1" applyFont="1" applyBorder="1" applyProtection="1"/>
    <xf numFmtId="173" fontId="13" fillId="0" borderId="20" xfId="275" applyNumberFormat="1" applyFont="1" applyBorder="1" applyProtection="1"/>
    <xf numFmtId="0" fontId="10" fillId="0" borderId="38" xfId="0" applyFont="1" applyBorder="1" applyAlignment="1" applyProtection="1">
      <alignment horizontal="center"/>
    </xf>
    <xf numFmtId="173" fontId="10" fillId="0" borderId="38" xfId="275" applyNumberFormat="1" applyFont="1" applyBorder="1" applyAlignment="1" applyProtection="1">
      <alignment horizontal="center"/>
    </xf>
    <xf numFmtId="173" fontId="10" fillId="0" borderId="21" xfId="275" quotePrefix="1" applyNumberFormat="1" applyFont="1" applyFill="1" applyBorder="1" applyAlignment="1" applyProtection="1">
      <alignment horizontal="center" wrapText="1"/>
    </xf>
    <xf numFmtId="173" fontId="10" fillId="0" borderId="21" xfId="275" quotePrefix="1" applyNumberFormat="1" applyFont="1" applyBorder="1" applyAlignment="1" applyProtection="1">
      <alignment horizontal="center" wrapText="1"/>
    </xf>
    <xf numFmtId="0" fontId="10" fillId="0" borderId="28" xfId="0" applyFont="1" applyBorder="1" applyAlignment="1" applyProtection="1">
      <alignment horizontal="center"/>
    </xf>
    <xf numFmtId="173" fontId="10" fillId="0" borderId="38" xfId="275" quotePrefix="1" applyNumberFormat="1" applyFont="1" applyBorder="1" applyAlignment="1" applyProtection="1">
      <alignment horizontal="center" wrapText="1"/>
    </xf>
    <xf numFmtId="173" fontId="10" fillId="0" borderId="38" xfId="275" applyNumberFormat="1" applyFont="1" applyFill="1" applyBorder="1" applyAlignment="1" applyProtection="1">
      <alignment horizontal="center" wrapText="1"/>
    </xf>
    <xf numFmtId="173" fontId="10" fillId="0" borderId="38" xfId="275" applyNumberFormat="1" applyFont="1" applyBorder="1" applyAlignment="1" applyProtection="1">
      <alignment horizontal="center" wrapText="1"/>
    </xf>
    <xf numFmtId="0" fontId="10" fillId="0" borderId="39" xfId="0" applyFont="1" applyBorder="1" applyAlignment="1" applyProtection="1">
      <alignment horizontal="center" wrapText="1"/>
    </xf>
    <xf numFmtId="0" fontId="10" fillId="0" borderId="39" xfId="0" applyFont="1" applyBorder="1" applyAlignment="1" applyProtection="1">
      <alignment horizontal="center"/>
    </xf>
    <xf numFmtId="173" fontId="10" fillId="0" borderId="27" xfId="275" applyNumberFormat="1" applyFont="1" applyFill="1" applyBorder="1" applyAlignment="1" applyProtection="1">
      <alignment horizontal="center"/>
    </xf>
    <xf numFmtId="173" fontId="10" fillId="0" borderId="27" xfId="275" applyNumberFormat="1" applyFont="1" applyBorder="1" applyAlignment="1" applyProtection="1">
      <alignment horizontal="center"/>
    </xf>
    <xf numFmtId="0" fontId="10" fillId="0" borderId="39" xfId="0" applyFont="1" applyFill="1" applyBorder="1" applyAlignment="1" applyProtection="1">
      <alignment horizontal="center"/>
    </xf>
    <xf numFmtId="0" fontId="10" fillId="0" borderId="28" xfId="0" applyFont="1" applyFill="1" applyBorder="1" applyAlignment="1" applyProtection="1">
      <alignment horizontal="center"/>
    </xf>
    <xf numFmtId="173" fontId="10" fillId="0" borderId="39" xfId="275" applyNumberFormat="1" applyFont="1" applyBorder="1" applyAlignment="1" applyProtection="1">
      <alignment horizontal="center"/>
    </xf>
    <xf numFmtId="173" fontId="10" fillId="0" borderId="39" xfId="275" applyNumberFormat="1" applyFont="1" applyFill="1" applyBorder="1" applyAlignment="1" applyProtection="1">
      <alignment horizontal="center"/>
    </xf>
    <xf numFmtId="173" fontId="10" fillId="0" borderId="34" xfId="275" applyNumberFormat="1" applyFont="1" applyFill="1" applyBorder="1" applyAlignment="1" applyProtection="1">
      <alignment horizontal="center"/>
    </xf>
    <xf numFmtId="0" fontId="13" fillId="0" borderId="28" xfId="0" applyNumberFormat="1" applyFont="1" applyBorder="1" applyAlignment="1" applyProtection="1">
      <alignment horizontal="center"/>
    </xf>
    <xf numFmtId="173" fontId="13" fillId="0" borderId="0" xfId="0" applyNumberFormat="1" applyFont="1" applyBorder="1" applyProtection="1"/>
    <xf numFmtId="173" fontId="13" fillId="0" borderId="38" xfId="275" applyNumberFormat="1" applyFont="1" applyBorder="1" applyProtection="1"/>
    <xf numFmtId="174" fontId="13" fillId="0" borderId="20" xfId="0" applyNumberFormat="1" applyFont="1" applyBorder="1" applyProtection="1"/>
    <xf numFmtId="174" fontId="13" fillId="0" borderId="38" xfId="0" applyNumberFormat="1" applyFont="1" applyFill="1" applyBorder="1" applyProtection="1"/>
    <xf numFmtId="174" fontId="13" fillId="0" borderId="38" xfId="0" applyNumberFormat="1" applyFont="1" applyBorder="1" applyProtection="1"/>
    <xf numFmtId="174" fontId="13" fillId="0" borderId="28" xfId="0" applyNumberFormat="1" applyFont="1" applyBorder="1" applyProtection="1"/>
    <xf numFmtId="173" fontId="13" fillId="0" borderId="28" xfId="0" applyNumberFormat="1" applyFont="1" applyBorder="1" applyProtection="1"/>
    <xf numFmtId="173" fontId="13" fillId="0" borderId="28" xfId="275" applyNumberFormat="1" applyFont="1" applyBorder="1" applyProtection="1"/>
    <xf numFmtId="174" fontId="13" fillId="27" borderId="28" xfId="0" applyNumberFormat="1" applyFont="1" applyFill="1" applyBorder="1" applyProtection="1"/>
    <xf numFmtId="173" fontId="13" fillId="0" borderId="28" xfId="0" applyNumberFormat="1" applyFont="1" applyFill="1" applyBorder="1" applyProtection="1"/>
    <xf numFmtId="173" fontId="13" fillId="0" borderId="28" xfId="275" applyNumberFormat="1" applyFont="1" applyFill="1" applyBorder="1" applyProtection="1"/>
    <xf numFmtId="0" fontId="13" fillId="0" borderId="39" xfId="0" applyNumberFormat="1" applyFont="1" applyBorder="1" applyAlignment="1" applyProtection="1">
      <alignment horizontal="center"/>
    </xf>
    <xf numFmtId="173" fontId="13" fillId="0" borderId="39" xfId="0" applyNumberFormat="1" applyFont="1" applyBorder="1" applyProtection="1"/>
    <xf numFmtId="173" fontId="13" fillId="0" borderId="39" xfId="275" applyNumberFormat="1" applyFont="1" applyBorder="1" applyProtection="1"/>
    <xf numFmtId="173" fontId="13" fillId="0" borderId="39" xfId="275" applyNumberFormat="1" applyFont="1" applyFill="1" applyBorder="1" applyProtection="1"/>
    <xf numFmtId="174" fontId="13" fillId="0" borderId="27" xfId="0" applyNumberFormat="1" applyFont="1" applyBorder="1" applyProtection="1"/>
    <xf numFmtId="174" fontId="13" fillId="27" borderId="39" xfId="0" applyNumberFormat="1" applyFont="1" applyFill="1" applyBorder="1" applyProtection="1"/>
    <xf numFmtId="174" fontId="13" fillId="0" borderId="39" xfId="0" applyNumberFormat="1" applyFont="1" applyBorder="1" applyProtection="1"/>
    <xf numFmtId="174" fontId="13" fillId="0" borderId="0" xfId="0" applyNumberFormat="1" applyFont="1" applyBorder="1" applyProtection="1"/>
    <xf numFmtId="173" fontId="13" fillId="0" borderId="0" xfId="0" applyNumberFormat="1" applyFont="1" applyProtection="1"/>
    <xf numFmtId="0" fontId="13" fillId="0" borderId="0" xfId="0" applyFont="1" applyAlignment="1" applyProtection="1">
      <alignment horizontal="left"/>
    </xf>
    <xf numFmtId="0" fontId="19" fillId="0" borderId="0" xfId="0" quotePrefix="1" applyFont="1" applyAlignment="1" applyProtection="1">
      <alignment horizontal="center"/>
    </xf>
    <xf numFmtId="0" fontId="19" fillId="0" borderId="0" xfId="0" applyFont="1" applyFill="1" applyAlignment="1" applyProtection="1">
      <alignment horizontal="center"/>
    </xf>
    <xf numFmtId="0" fontId="19" fillId="0" borderId="0" xfId="791" applyFont="1" applyFill="1" applyBorder="1" applyAlignment="1" applyProtection="1">
      <alignment horizontal="center"/>
    </xf>
    <xf numFmtId="3" fontId="7" fillId="0" borderId="0" xfId="0" applyNumberFormat="1" applyFont="1" applyFill="1" applyAlignment="1" applyProtection="1">
      <alignment horizontal="center"/>
    </xf>
    <xf numFmtId="10" fontId="117" fillId="0" borderId="32" xfId="0" applyNumberFormat="1" applyFont="1" applyFill="1" applyBorder="1" applyProtection="1"/>
    <xf numFmtId="1" fontId="13" fillId="26" borderId="0" xfId="881" applyNumberFormat="1" applyFont="1" applyFill="1" applyBorder="1" applyAlignment="1" applyProtection="1">
      <alignment horizontal="center"/>
    </xf>
    <xf numFmtId="167" fontId="117" fillId="0" borderId="32" xfId="0" applyNumberFormat="1" applyFont="1" applyFill="1" applyBorder="1" applyProtection="1"/>
    <xf numFmtId="41" fontId="13" fillId="0" borderId="19" xfId="881" quotePrefix="1" applyNumberFormat="1" applyFont="1" applyFill="1" applyBorder="1" applyAlignment="1" applyProtection="1">
      <alignment horizontal="left"/>
    </xf>
    <xf numFmtId="41" fontId="13" fillId="0" borderId="0" xfId="881" quotePrefix="1" applyNumberFormat="1" applyFont="1" applyFill="1" applyBorder="1" applyAlignment="1" applyProtection="1">
      <alignment horizontal="right"/>
    </xf>
    <xf numFmtId="174" fontId="13" fillId="0" borderId="0" xfId="0" applyNumberFormat="1" applyFont="1" applyFill="1" applyBorder="1" applyProtection="1"/>
    <xf numFmtId="174" fontId="13" fillId="0" borderId="20" xfId="0" applyNumberFormat="1" applyFont="1" applyFill="1" applyBorder="1" applyProtection="1"/>
    <xf numFmtId="41" fontId="13" fillId="0" borderId="19" xfId="881" quotePrefix="1" applyNumberFormat="1" applyFont="1" applyFill="1" applyBorder="1" applyAlignment="1" applyProtection="1">
      <alignment horizontal="left" vertical="center"/>
    </xf>
    <xf numFmtId="41" fontId="13" fillId="0" borderId="0" xfId="881" quotePrefix="1" applyNumberFormat="1" applyFont="1" applyFill="1" applyBorder="1" applyAlignment="1" applyProtection="1">
      <alignment horizontal="right" vertical="center"/>
    </xf>
    <xf numFmtId="0" fontId="13" fillId="0" borderId="33" xfId="0" applyFont="1" applyFill="1" applyBorder="1" applyAlignment="1" applyProtection="1">
      <alignment horizontal="left"/>
    </xf>
    <xf numFmtId="0" fontId="13" fillId="0" borderId="30" xfId="0" applyFont="1" applyFill="1" applyBorder="1" applyAlignment="1" applyProtection="1">
      <alignment horizontal="right"/>
    </xf>
    <xf numFmtId="173" fontId="13" fillId="0" borderId="30" xfId="0" applyNumberFormat="1" applyFont="1" applyFill="1" applyBorder="1" applyProtection="1"/>
    <xf numFmtId="173" fontId="13" fillId="0" borderId="31" xfId="0" applyNumberFormat="1" applyFont="1" applyFill="1" applyBorder="1" applyProtection="1"/>
    <xf numFmtId="173" fontId="13" fillId="0" borderId="0" xfId="881" quotePrefix="1" applyNumberFormat="1" applyFont="1" applyFill="1" applyBorder="1" applyAlignment="1" applyProtection="1">
      <alignment horizontal="center"/>
    </xf>
    <xf numFmtId="0" fontId="13" fillId="0" borderId="25" xfId="0" applyFont="1" applyFill="1" applyBorder="1" applyProtection="1"/>
    <xf numFmtId="173" fontId="117" fillId="0" borderId="42" xfId="0" applyNumberFormat="1" applyFont="1" applyFill="1" applyBorder="1" applyProtection="1"/>
    <xf numFmtId="0" fontId="13" fillId="0" borderId="26" xfId="0" applyFont="1" applyFill="1" applyBorder="1" applyProtection="1"/>
    <xf numFmtId="173" fontId="117" fillId="0" borderId="33" xfId="0" applyNumberFormat="1" applyFont="1" applyFill="1" applyBorder="1" applyProtection="1"/>
    <xf numFmtId="0" fontId="13" fillId="0" borderId="27" xfId="0" applyFont="1" applyFill="1" applyBorder="1" applyProtection="1"/>
    <xf numFmtId="173" fontId="13" fillId="0" borderId="0" xfId="0" applyNumberFormat="1" applyFont="1" applyFill="1" applyBorder="1" applyProtection="1"/>
    <xf numFmtId="173" fontId="85" fillId="0" borderId="28" xfId="198" applyNumberFormat="1" applyFont="1" applyBorder="1" applyProtection="1"/>
    <xf numFmtId="173" fontId="85" fillId="0" borderId="39" xfId="198" applyNumberFormat="1" applyFont="1" applyBorder="1" applyProtection="1"/>
    <xf numFmtId="0" fontId="12" fillId="0" borderId="0" xfId="775" quotePrefix="1" applyFont="1" applyAlignment="1" applyProtection="1">
      <alignment horizontal="left"/>
    </xf>
    <xf numFmtId="0" fontId="13" fillId="0" borderId="0" xfId="775" applyFont="1" applyFill="1" applyBorder="1" applyProtection="1"/>
    <xf numFmtId="0" fontId="13" fillId="0" borderId="0" xfId="775" applyFont="1" applyAlignment="1" applyProtection="1">
      <alignment horizontal="center"/>
    </xf>
    <xf numFmtId="10" fontId="13" fillId="0" borderId="0" xfId="775" applyNumberFormat="1" applyFont="1" applyProtection="1"/>
    <xf numFmtId="0" fontId="13" fillId="0" borderId="0" xfId="775" applyFont="1" applyBorder="1" applyProtection="1"/>
    <xf numFmtId="0" fontId="19" fillId="0" borderId="0" xfId="775" applyFont="1" applyAlignment="1" applyProtection="1">
      <alignment horizontal="right"/>
    </xf>
    <xf numFmtId="0" fontId="19" fillId="0" borderId="0" xfId="775" quotePrefix="1" applyFont="1" applyAlignment="1" applyProtection="1">
      <alignment horizontal="right"/>
    </xf>
    <xf numFmtId="0" fontId="58" fillId="0" borderId="0" xfId="775" applyFont="1" applyFill="1" applyProtection="1"/>
    <xf numFmtId="0" fontId="9" fillId="0" borderId="0" xfId="775" applyFont="1" applyFill="1" applyProtection="1"/>
    <xf numFmtId="1" fontId="10" fillId="0" borderId="47" xfId="775" applyNumberFormat="1" applyFont="1" applyFill="1" applyBorder="1" applyAlignment="1" applyProtection="1">
      <alignment horizontal="center"/>
    </xf>
    <xf numFmtId="172" fontId="13" fillId="0" borderId="40" xfId="881" applyFont="1" applyBorder="1" applyAlignment="1" applyProtection="1">
      <alignment horizontal="center"/>
    </xf>
    <xf numFmtId="172" fontId="13" fillId="0" borderId="40" xfId="881" quotePrefix="1" applyFont="1" applyBorder="1" applyAlignment="1" applyProtection="1">
      <alignment horizontal="center"/>
    </xf>
    <xf numFmtId="3" fontId="13" fillId="0" borderId="41" xfId="881" applyNumberFormat="1" applyFont="1" applyBorder="1" applyAlignment="1" applyProtection="1">
      <alignment horizontal="center"/>
    </xf>
    <xf numFmtId="0" fontId="80" fillId="0" borderId="0" xfId="775" applyFont="1" applyProtection="1"/>
    <xf numFmtId="0" fontId="13" fillId="0" borderId="38" xfId="775" applyFont="1" applyBorder="1" applyProtection="1"/>
    <xf numFmtId="173" fontId="13" fillId="0" borderId="19" xfId="275" quotePrefix="1" applyNumberFormat="1" applyFont="1" applyBorder="1" applyAlignment="1" applyProtection="1">
      <alignment horizontal="right"/>
    </xf>
    <xf numFmtId="173" fontId="10" fillId="0" borderId="0" xfId="275" applyNumberFormat="1" applyFont="1" applyBorder="1" applyProtection="1"/>
    <xf numFmtId="173" fontId="13" fillId="0" borderId="20" xfId="775" applyNumberFormat="1" applyFont="1" applyBorder="1" applyProtection="1"/>
    <xf numFmtId="0" fontId="9" fillId="0" borderId="0" xfId="775" applyFont="1" applyAlignment="1" applyProtection="1">
      <alignment horizontal="left"/>
    </xf>
    <xf numFmtId="0" fontId="8" fillId="0" borderId="44" xfId="275" applyNumberFormat="1" applyFont="1" applyFill="1" applyBorder="1" applyAlignment="1" applyProtection="1">
      <alignment horizontal="left"/>
    </xf>
    <xf numFmtId="173" fontId="13" fillId="0" borderId="45" xfId="275" quotePrefix="1" applyNumberFormat="1" applyFont="1" applyBorder="1" applyAlignment="1" applyProtection="1">
      <alignment horizontal="right"/>
    </xf>
    <xf numFmtId="173" fontId="10" fillId="0" borderId="11" xfId="275" applyNumberFormat="1" applyFont="1" applyBorder="1" applyProtection="1"/>
    <xf numFmtId="173" fontId="13" fillId="0" borderId="25" xfId="775" applyNumberFormat="1" applyFont="1" applyBorder="1" applyProtection="1"/>
    <xf numFmtId="0" fontId="10" fillId="0" borderId="0" xfId="775" applyFont="1" applyFill="1" applyProtection="1"/>
    <xf numFmtId="0" fontId="13" fillId="0" borderId="34" xfId="775" quotePrefix="1" applyFont="1" applyBorder="1" applyAlignment="1" applyProtection="1">
      <alignment horizontal="right"/>
    </xf>
    <xf numFmtId="173" fontId="10" fillId="0" borderId="6" xfId="275" applyNumberFormat="1" applyFont="1" applyFill="1" applyBorder="1" applyAlignment="1" applyProtection="1">
      <alignment horizontal="left"/>
    </xf>
    <xf numFmtId="173" fontId="10" fillId="0" borderId="27" xfId="275" applyNumberFormat="1" applyFont="1" applyFill="1" applyBorder="1" applyAlignment="1" applyProtection="1">
      <alignment horizontal="left"/>
    </xf>
    <xf numFmtId="173" fontId="13" fillId="0" borderId="0" xfId="775" applyNumberFormat="1" applyFont="1" applyAlignment="1" applyProtection="1">
      <alignment horizontal="left"/>
    </xf>
    <xf numFmtId="173" fontId="13" fillId="0" borderId="0" xfId="775" applyNumberFormat="1" applyFont="1" applyProtection="1"/>
    <xf numFmtId="0" fontId="13" fillId="0" borderId="0" xfId="775" applyFont="1" applyFill="1" applyAlignment="1" applyProtection="1">
      <alignment wrapText="1"/>
    </xf>
    <xf numFmtId="0" fontId="13" fillId="0" borderId="35" xfId="775" applyFont="1" applyFill="1" applyBorder="1" applyAlignment="1" applyProtection="1">
      <alignment horizontal="center"/>
    </xf>
    <xf numFmtId="0" fontId="13" fillId="0" borderId="36" xfId="775" applyFont="1" applyBorder="1" applyAlignment="1" applyProtection="1"/>
    <xf numFmtId="0" fontId="13" fillId="0" borderId="0" xfId="775" applyFont="1" applyFill="1" applyBorder="1" applyAlignment="1" applyProtection="1"/>
    <xf numFmtId="0" fontId="13" fillId="0" borderId="0" xfId="775" applyFont="1" applyBorder="1" applyAlignment="1" applyProtection="1"/>
    <xf numFmtId="0" fontId="13" fillId="0" borderId="19" xfId="775" quotePrefix="1" applyFont="1" applyFill="1" applyBorder="1" applyAlignment="1" applyProtection="1">
      <alignment horizontal="left"/>
    </xf>
    <xf numFmtId="43" fontId="8" fillId="27" borderId="46" xfId="198" applyFont="1" applyFill="1" applyBorder="1" applyProtection="1"/>
    <xf numFmtId="0" fontId="13" fillId="0" borderId="0" xfId="775" applyFont="1" applyBorder="1" applyAlignment="1" applyProtection="1">
      <alignment horizontal="center"/>
    </xf>
    <xf numFmtId="1" fontId="10" fillId="0" borderId="21" xfId="775" applyNumberFormat="1" applyFont="1" applyFill="1" applyBorder="1" applyAlignment="1" applyProtection="1">
      <alignment horizontal="center"/>
    </xf>
    <xf numFmtId="0" fontId="10" fillId="0" borderId="0" xfId="775" applyFont="1" applyFill="1" applyBorder="1" applyAlignment="1" applyProtection="1">
      <alignment horizontal="center"/>
    </xf>
    <xf numFmtId="0" fontId="13" fillId="0" borderId="19" xfId="775" applyFont="1" applyFill="1" applyBorder="1" applyProtection="1"/>
    <xf numFmtId="43" fontId="8" fillId="27" borderId="0" xfId="198" applyFont="1" applyFill="1" applyBorder="1" applyProtection="1"/>
    <xf numFmtId="173" fontId="13" fillId="0" borderId="20" xfId="775" applyNumberFormat="1" applyFont="1" applyFill="1" applyBorder="1" applyAlignment="1" applyProtection="1">
      <alignment horizontal="right"/>
    </xf>
    <xf numFmtId="173" fontId="13" fillId="0" borderId="0" xfId="775" applyNumberFormat="1" applyFont="1" applyFill="1" applyBorder="1" applyAlignment="1" applyProtection="1">
      <alignment horizontal="right"/>
    </xf>
    <xf numFmtId="10" fontId="13" fillId="0" borderId="20" xfId="775" applyNumberFormat="1" applyFont="1" applyBorder="1" applyProtection="1"/>
    <xf numFmtId="10" fontId="13" fillId="0" borderId="0" xfId="775" applyNumberFormat="1" applyFont="1" applyFill="1" applyBorder="1" applyProtection="1"/>
    <xf numFmtId="10" fontId="13" fillId="0" borderId="0" xfId="775" applyNumberFormat="1" applyFont="1" applyBorder="1" applyProtection="1"/>
    <xf numFmtId="0" fontId="13" fillId="0" borderId="34" xfId="775" applyFont="1" applyBorder="1" applyProtection="1"/>
    <xf numFmtId="0" fontId="13" fillId="0" borderId="6" xfId="775" applyFont="1" applyBorder="1" applyAlignment="1" applyProtection="1">
      <alignment horizontal="center"/>
    </xf>
    <xf numFmtId="0" fontId="13" fillId="0" borderId="6" xfId="775" applyFont="1" applyBorder="1" applyProtection="1"/>
    <xf numFmtId="0" fontId="13" fillId="0" borderId="0" xfId="775" applyFont="1" applyAlignment="1" applyProtection="1">
      <alignment wrapText="1"/>
    </xf>
    <xf numFmtId="0" fontId="10" fillId="0" borderId="38" xfId="775" applyFont="1" applyBorder="1" applyAlignment="1" applyProtection="1">
      <alignment horizontal="center" wrapText="1"/>
    </xf>
    <xf numFmtId="173" fontId="10" fillId="0" borderId="38" xfId="275" applyNumberFormat="1" applyFont="1" applyFill="1" applyBorder="1" applyAlignment="1" applyProtection="1">
      <alignment horizontal="center"/>
    </xf>
    <xf numFmtId="173" fontId="10" fillId="0" borderId="38" xfId="275" quotePrefix="1" applyNumberFormat="1" applyFont="1" applyFill="1" applyBorder="1" applyAlignment="1" applyProtection="1">
      <alignment horizontal="center" wrapText="1"/>
    </xf>
    <xf numFmtId="0" fontId="10" fillId="0" borderId="28" xfId="775" applyFont="1" applyBorder="1" applyAlignment="1" applyProtection="1">
      <alignment horizontal="center" wrapText="1"/>
    </xf>
    <xf numFmtId="0" fontId="10" fillId="0" borderId="39" xfId="775" applyFont="1" applyBorder="1" applyAlignment="1" applyProtection="1">
      <alignment horizontal="center"/>
    </xf>
    <xf numFmtId="0" fontId="10" fillId="0" borderId="6" xfId="775" applyFont="1" applyFill="1" applyBorder="1" applyAlignment="1" applyProtection="1">
      <alignment horizontal="center"/>
    </xf>
    <xf numFmtId="0" fontId="10" fillId="0" borderId="39" xfId="775" applyFont="1" applyFill="1" applyBorder="1" applyAlignment="1" applyProtection="1">
      <alignment horizontal="center"/>
    </xf>
    <xf numFmtId="0" fontId="10" fillId="0" borderId="28" xfId="775" applyFont="1" applyFill="1" applyBorder="1" applyAlignment="1" applyProtection="1">
      <alignment horizontal="center"/>
    </xf>
    <xf numFmtId="0" fontId="13" fillId="0" borderId="28" xfId="775" applyNumberFormat="1" applyFont="1" applyBorder="1" applyAlignment="1" applyProtection="1">
      <alignment horizontal="center"/>
    </xf>
    <xf numFmtId="173" fontId="13" fillId="0" borderId="0" xfId="775" applyNumberFormat="1" applyFont="1" applyBorder="1" applyProtection="1"/>
    <xf numFmtId="173" fontId="13" fillId="0" borderId="28" xfId="775" applyNumberFormat="1" applyFont="1" applyBorder="1" applyProtection="1"/>
    <xf numFmtId="173" fontId="13" fillId="0" borderId="38" xfId="775" applyNumberFormat="1" applyFont="1" applyBorder="1" applyProtection="1"/>
    <xf numFmtId="170" fontId="13" fillId="0" borderId="28" xfId="275" applyNumberFormat="1" applyFont="1" applyFill="1" applyBorder="1" applyProtection="1"/>
    <xf numFmtId="170" fontId="13" fillId="0" borderId="20" xfId="275" applyNumberFormat="1" applyFont="1" applyFill="1" applyBorder="1" applyProtection="1"/>
    <xf numFmtId="174" fontId="13" fillId="0" borderId="28" xfId="775" applyNumberFormat="1" applyFont="1" applyBorder="1" applyProtection="1"/>
    <xf numFmtId="174" fontId="13" fillId="27" borderId="38" xfId="775" applyNumberFormat="1" applyFont="1" applyFill="1" applyBorder="1" applyProtection="1"/>
    <xf numFmtId="174" fontId="13" fillId="0" borderId="38" xfId="775" applyNumberFormat="1" applyFont="1" applyBorder="1" applyProtection="1"/>
    <xf numFmtId="173" fontId="13" fillId="0" borderId="20" xfId="275" applyNumberFormat="1" applyFont="1" applyFill="1" applyBorder="1" applyProtection="1"/>
    <xf numFmtId="174" fontId="13" fillId="27" borderId="28" xfId="775" applyNumberFormat="1" applyFont="1" applyFill="1" applyBorder="1" applyProtection="1"/>
    <xf numFmtId="0" fontId="13" fillId="0" borderId="39" xfId="775" applyNumberFormat="1" applyFont="1" applyBorder="1" applyAlignment="1" applyProtection="1">
      <alignment horizontal="center"/>
    </xf>
    <xf numFmtId="173" fontId="13" fillId="0" borderId="6" xfId="775" applyNumberFormat="1" applyFont="1" applyBorder="1" applyProtection="1"/>
    <xf numFmtId="173" fontId="13" fillId="0" borderId="39" xfId="775" applyNumberFormat="1" applyFont="1" applyBorder="1" applyProtection="1"/>
    <xf numFmtId="173" fontId="13" fillId="0" borderId="27" xfId="275" applyNumberFormat="1" applyFont="1" applyFill="1" applyBorder="1" applyProtection="1"/>
    <xf numFmtId="174" fontId="13" fillId="0" borderId="39" xfId="775" applyNumberFormat="1" applyFont="1" applyBorder="1" applyProtection="1"/>
    <xf numFmtId="174" fontId="13" fillId="27" borderId="39" xfId="775" applyNumberFormat="1" applyFont="1" applyFill="1" applyBorder="1" applyProtection="1"/>
    <xf numFmtId="0" fontId="13" fillId="0" borderId="0" xfId="775" quotePrefix="1" applyFont="1" applyAlignment="1" applyProtection="1">
      <alignment horizontal="left"/>
    </xf>
    <xf numFmtId="174" fontId="13" fillId="0" borderId="0" xfId="775" applyNumberFormat="1" applyFont="1" applyBorder="1" applyProtection="1"/>
    <xf numFmtId="0" fontId="72" fillId="0" borderId="0" xfId="0" applyFont="1" applyFill="1" applyProtection="1"/>
    <xf numFmtId="0" fontId="65" fillId="0" borderId="0" xfId="0" applyFont="1" applyFill="1" applyAlignment="1" applyProtection="1">
      <alignment horizontal="right"/>
    </xf>
    <xf numFmtId="0" fontId="71" fillId="0" borderId="0" xfId="883" applyFont="1" applyFill="1" applyProtection="1"/>
    <xf numFmtId="0" fontId="72" fillId="0" borderId="0" xfId="883" applyFont="1" applyFill="1" applyProtection="1"/>
    <xf numFmtId="0" fontId="73" fillId="0" borderId="0" xfId="883" applyFont="1" applyFill="1" applyAlignment="1" applyProtection="1">
      <alignment horizontal="right"/>
    </xf>
    <xf numFmtId="0" fontId="128" fillId="0" borderId="0" xfId="883" applyFont="1" applyFill="1" applyProtection="1"/>
    <xf numFmtId="0" fontId="74" fillId="0" borderId="0" xfId="883" applyFont="1" applyFill="1" applyAlignment="1" applyProtection="1">
      <alignment horizontal="right"/>
    </xf>
    <xf numFmtId="0" fontId="13" fillId="0" borderId="0" xfId="883" applyFont="1" applyFill="1" applyProtection="1"/>
    <xf numFmtId="0" fontId="12" fillId="0" borderId="0" xfId="883" applyFont="1" applyFill="1" applyAlignment="1" applyProtection="1">
      <alignment horizontal="center"/>
    </xf>
    <xf numFmtId="0" fontId="6" fillId="0" borderId="0" xfId="883" applyFont="1" applyFill="1" applyProtection="1"/>
    <xf numFmtId="0" fontId="7" fillId="0" borderId="11" xfId="883" applyFont="1" applyFill="1" applyBorder="1" applyAlignment="1" applyProtection="1">
      <alignment horizontal="center"/>
    </xf>
    <xf numFmtId="0" fontId="74" fillId="0" borderId="0" xfId="0" applyFont="1" applyFill="1" applyAlignment="1" applyProtection="1">
      <alignment horizontal="right"/>
    </xf>
    <xf numFmtId="0" fontId="12" fillId="0" borderId="0" xfId="883" applyFont="1" applyFill="1" applyProtection="1"/>
    <xf numFmtId="0" fontId="8" fillId="0" borderId="0" xfId="883" applyFont="1" applyFill="1" applyAlignment="1" applyProtection="1">
      <alignment horizontal="center"/>
    </xf>
    <xf numFmtId="0" fontId="129" fillId="0" borderId="0" xfId="883" applyFont="1" applyFill="1" applyAlignment="1" applyProtection="1">
      <alignment horizontal="center"/>
    </xf>
    <xf numFmtId="0" fontId="7" fillId="0" borderId="0" xfId="883" applyFont="1" applyFill="1" applyProtection="1"/>
    <xf numFmtId="173" fontId="8" fillId="27" borderId="0" xfId="198" applyNumberFormat="1" applyFont="1" applyFill="1" applyBorder="1" applyProtection="1"/>
    <xf numFmtId="173" fontId="8" fillId="0" borderId="0" xfId="883" applyNumberFormat="1" applyFont="1" applyFill="1" applyProtection="1"/>
    <xf numFmtId="173" fontId="13" fillId="0" borderId="0" xfId="883" applyNumberFormat="1" applyFont="1" applyFill="1" applyProtection="1"/>
    <xf numFmtId="0" fontId="8" fillId="0" borderId="0" xfId="883" applyFont="1" applyFill="1" applyProtection="1"/>
    <xf numFmtId="43" fontId="8" fillId="0" borderId="0" xfId="535" applyFont="1" applyFill="1" applyProtection="1"/>
    <xf numFmtId="0" fontId="130" fillId="0" borderId="0" xfId="0" applyFont="1" applyFill="1" applyProtection="1"/>
    <xf numFmtId="43" fontId="13" fillId="0" borderId="0" xfId="535" applyFont="1" applyFill="1" applyProtection="1"/>
    <xf numFmtId="0" fontId="78" fillId="0" borderId="0" xfId="0" applyFont="1" applyFill="1" applyProtection="1"/>
    <xf numFmtId="0" fontId="6" fillId="0" borderId="0" xfId="883" quotePrefix="1" applyFont="1" applyFill="1" applyAlignment="1" applyProtection="1">
      <alignment horizontal="left"/>
    </xf>
    <xf numFmtId="173" fontId="8" fillId="0" borderId="2" xfId="883" applyNumberFormat="1" applyFont="1" applyFill="1" applyBorder="1" applyProtection="1"/>
    <xf numFmtId="0" fontId="78" fillId="0" borderId="0" xfId="883" applyFont="1" applyFill="1" applyProtection="1"/>
    <xf numFmtId="173" fontId="8" fillId="0" borderId="2" xfId="198" applyNumberFormat="1" applyFont="1" applyFill="1" applyBorder="1" applyProtection="1"/>
    <xf numFmtId="173" fontId="8" fillId="0" borderId="0" xfId="883" applyNumberFormat="1" applyFont="1" applyFill="1" applyBorder="1" applyProtection="1"/>
    <xf numFmtId="0" fontId="7" fillId="0" borderId="0" xfId="883" applyFont="1" applyFill="1" applyAlignment="1" applyProtection="1">
      <alignment horizontal="right"/>
    </xf>
    <xf numFmtId="43" fontId="65" fillId="0" borderId="0" xfId="883" applyNumberFormat="1" applyFont="1" applyFill="1" applyAlignment="1" applyProtection="1"/>
    <xf numFmtId="0" fontId="9" fillId="0" borderId="0" xfId="883" quotePrefix="1" applyFont="1" applyFill="1" applyAlignment="1" applyProtection="1">
      <alignment horizontal="left"/>
    </xf>
    <xf numFmtId="0" fontId="10" fillId="0" borderId="0" xfId="883" applyFont="1" applyFill="1" applyProtection="1"/>
    <xf numFmtId="0" fontId="10" fillId="0" borderId="0" xfId="883" applyFont="1" applyFill="1" applyAlignment="1" applyProtection="1">
      <alignment horizontal="left"/>
    </xf>
    <xf numFmtId="0" fontId="9" fillId="0" borderId="0" xfId="876" applyFont="1" applyFill="1" applyProtection="1"/>
    <xf numFmtId="0" fontId="9" fillId="0" borderId="0" xfId="883" applyFont="1" applyFill="1" applyProtection="1"/>
    <xf numFmtId="0" fontId="129" fillId="0" borderId="0" xfId="883" applyFont="1" applyFill="1" applyAlignment="1" applyProtection="1">
      <alignment horizontal="center" vertical="top"/>
    </xf>
    <xf numFmtId="0" fontId="112" fillId="0" borderId="0" xfId="883" applyFont="1" applyFill="1" applyProtection="1"/>
    <xf numFmtId="0" fontId="111" fillId="0" borderId="0" xfId="883" applyFont="1" applyFill="1" applyProtection="1"/>
    <xf numFmtId="170" fontId="8" fillId="0" borderId="14" xfId="883" applyNumberFormat="1" applyFont="1" applyFill="1" applyBorder="1" applyProtection="1"/>
    <xf numFmtId="0" fontId="75" fillId="0" borderId="0" xfId="883" applyFont="1" applyFill="1" applyAlignment="1" applyProtection="1"/>
    <xf numFmtId="0" fontId="111" fillId="0" borderId="0" xfId="883" applyFont="1" applyFill="1" applyAlignment="1" applyProtection="1">
      <alignment vertical="top"/>
    </xf>
    <xf numFmtId="0" fontId="112" fillId="0" borderId="0" xfId="883" applyFont="1" applyFill="1" applyAlignment="1" applyProtection="1">
      <alignment vertical="top"/>
    </xf>
    <xf numFmtId="43" fontId="112" fillId="0" borderId="0" xfId="535" applyFont="1" applyFill="1" applyAlignment="1" applyProtection="1">
      <alignment vertical="top"/>
    </xf>
    <xf numFmtId="173" fontId="8" fillId="0" borderId="0" xfId="198" applyNumberFormat="1" applyFont="1" applyFill="1" applyBorder="1" applyProtection="1"/>
    <xf numFmtId="43" fontId="112" fillId="0" borderId="0" xfId="535" applyFont="1" applyFill="1" applyProtection="1"/>
    <xf numFmtId="170" fontId="6" fillId="0" borderId="15" xfId="883" applyNumberFormat="1" applyFont="1" applyFill="1" applyBorder="1" applyAlignment="1" applyProtection="1">
      <alignment horizontal="right"/>
    </xf>
    <xf numFmtId="0" fontId="131" fillId="0" borderId="0" xfId="883" applyFont="1" applyFill="1" applyProtection="1"/>
    <xf numFmtId="0" fontId="10" fillId="0" borderId="0" xfId="883" applyFont="1" applyFill="1" applyBorder="1" applyAlignment="1" applyProtection="1">
      <alignment horizontal="center"/>
    </xf>
    <xf numFmtId="0" fontId="13" fillId="0" borderId="0" xfId="883" applyFont="1" applyFill="1" applyBorder="1" applyProtection="1"/>
    <xf numFmtId="3" fontId="9" fillId="0" borderId="0" xfId="0" applyNumberFormat="1" applyFont="1" applyFill="1" applyAlignment="1" applyProtection="1"/>
    <xf numFmtId="0" fontId="14" fillId="0" borderId="0" xfId="0" applyFont="1" applyFill="1" applyAlignment="1" applyProtection="1">
      <alignment horizontal="center"/>
    </xf>
    <xf numFmtId="3" fontId="7" fillId="0" borderId="0" xfId="0" applyNumberFormat="1" applyFont="1" applyFill="1" applyAlignment="1" applyProtection="1"/>
    <xf numFmtId="1" fontId="13" fillId="0" borderId="0" xfId="0" applyNumberFormat="1" applyFont="1" applyFill="1" applyAlignment="1" applyProtection="1">
      <alignment horizontal="center"/>
    </xf>
    <xf numFmtId="0" fontId="14" fillId="0" borderId="0" xfId="0" applyFont="1" applyFill="1" applyAlignment="1" applyProtection="1"/>
    <xf numFmtId="43" fontId="78" fillId="27" borderId="0" xfId="198" applyFont="1" applyFill="1" applyBorder="1" applyProtection="1"/>
    <xf numFmtId="0" fontId="13" fillId="0" borderId="0" xfId="0" applyFont="1" applyFill="1" applyAlignment="1" applyProtection="1">
      <alignment horizontal="right"/>
    </xf>
    <xf numFmtId="5" fontId="13" fillId="0" borderId="14" xfId="198" applyNumberFormat="1" applyFont="1" applyFill="1" applyBorder="1" applyAlignment="1" applyProtection="1"/>
    <xf numFmtId="173" fontId="13" fillId="0" borderId="0" xfId="198" applyNumberFormat="1" applyFont="1" applyFill="1" applyAlignment="1" applyProtection="1"/>
    <xf numFmtId="0" fontId="16" fillId="0" borderId="0" xfId="878" applyFont="1" applyFill="1" applyAlignment="1" applyProtection="1">
      <alignment horizontal="left"/>
    </xf>
    <xf numFmtId="0" fontId="16" fillId="0" borderId="0" xfId="878" applyFont="1" applyFill="1" applyProtection="1"/>
    <xf numFmtId="0" fontId="8" fillId="0" borderId="0" xfId="878" applyFont="1" applyFill="1" applyProtection="1"/>
    <xf numFmtId="0" fontId="8" fillId="0" borderId="0" xfId="878" applyFont="1" applyFill="1" applyAlignment="1" applyProtection="1">
      <alignment horizontal="center"/>
    </xf>
    <xf numFmtId="0" fontId="8" fillId="0" borderId="0" xfId="878" applyFont="1" applyFill="1" applyAlignment="1" applyProtection="1">
      <alignment horizontal="left"/>
    </xf>
    <xf numFmtId="0" fontId="15" fillId="0" borderId="0" xfId="878" applyFont="1" applyFill="1" applyProtection="1"/>
    <xf numFmtId="0" fontId="67" fillId="0" borderId="0" xfId="878" applyFont="1" applyFill="1" applyProtection="1"/>
    <xf numFmtId="9" fontId="11" fillId="0" borderId="0" xfId="878" quotePrefix="1" applyNumberFormat="1" applyFont="1" applyFill="1" applyAlignment="1" applyProtection="1">
      <alignment horizontal="center"/>
    </xf>
    <xf numFmtId="0" fontId="82" fillId="0" borderId="0" xfId="878" applyFont="1" applyFill="1" applyBorder="1" applyProtection="1"/>
    <xf numFmtId="0" fontId="11" fillId="0" borderId="0" xfId="878" applyFont="1" applyFill="1" applyAlignment="1" applyProtection="1">
      <alignment horizontal="center" wrapText="1"/>
    </xf>
    <xf numFmtId="3" fontId="11" fillId="0" borderId="0" xfId="0" applyNumberFormat="1" applyFont="1" applyFill="1" applyAlignment="1" applyProtection="1">
      <alignment horizontal="center"/>
    </xf>
    <xf numFmtId="0" fontId="8" fillId="0" borderId="0" xfId="878" applyFont="1" applyFill="1" applyAlignment="1" applyProtection="1">
      <alignment horizontal="center" vertical="center"/>
    </xf>
    <xf numFmtId="0" fontId="20" fillId="27" borderId="0" xfId="878" applyNumberFormat="1" applyFont="1" applyFill="1" applyBorder="1" applyAlignment="1" applyProtection="1">
      <alignment horizontal="center"/>
    </xf>
    <xf numFmtId="3" fontId="20" fillId="27" borderId="0" xfId="0" applyNumberFormat="1" applyFont="1" applyFill="1" applyAlignment="1" applyProtection="1"/>
    <xf numFmtId="37" fontId="20" fillId="27" borderId="0" xfId="0" quotePrefix="1" applyNumberFormat="1" applyFont="1" applyFill="1" applyAlignment="1" applyProtection="1">
      <alignment horizontal="right" vertical="top"/>
    </xf>
    <xf numFmtId="3" fontId="20" fillId="27" borderId="0" xfId="0" quotePrefix="1" applyNumberFormat="1" applyFont="1" applyFill="1" applyAlignment="1" applyProtection="1">
      <alignment horizontal="left" vertical="top" wrapText="1"/>
    </xf>
    <xf numFmtId="37" fontId="81" fillId="0" borderId="0" xfId="878" applyNumberFormat="1" applyFont="1" applyFill="1" applyProtection="1"/>
    <xf numFmtId="3" fontId="20" fillId="27" borderId="0" xfId="0" quotePrefix="1" applyNumberFormat="1" applyFont="1" applyFill="1" applyAlignment="1" applyProtection="1">
      <alignment horizontal="center" vertical="top"/>
    </xf>
    <xf numFmtId="3" fontId="20" fillId="27" borderId="0" xfId="0" quotePrefix="1" applyNumberFormat="1" applyFont="1" applyFill="1" applyAlignment="1" applyProtection="1">
      <alignment horizontal="left" vertical="top"/>
    </xf>
    <xf numFmtId="3" fontId="20" fillId="27" borderId="0" xfId="0" quotePrefix="1" applyNumberFormat="1" applyFont="1" applyFill="1" applyAlignment="1" applyProtection="1">
      <alignment horizontal="right" vertical="top"/>
    </xf>
    <xf numFmtId="0" fontId="85" fillId="27" borderId="0" xfId="311" applyNumberFormat="1" applyFont="1" applyFill="1" applyBorder="1" applyAlignment="1" applyProtection="1">
      <alignment horizontal="left"/>
    </xf>
    <xf numFmtId="3" fontId="20" fillId="27" borderId="0" xfId="0" quotePrefix="1" applyNumberFormat="1" applyFont="1" applyFill="1" applyAlignment="1" applyProtection="1">
      <alignment horizontal="left" vertical="center"/>
    </xf>
    <xf numFmtId="173" fontId="20" fillId="27" borderId="0" xfId="311" applyNumberFormat="1" applyFont="1" applyFill="1" applyBorder="1" applyProtection="1"/>
    <xf numFmtId="43" fontId="20" fillId="27" borderId="0" xfId="311" applyFont="1" applyFill="1" applyBorder="1" applyProtection="1"/>
    <xf numFmtId="3" fontId="20" fillId="27" borderId="0" xfId="0" quotePrefix="1" applyNumberFormat="1" applyFont="1" applyFill="1" applyAlignment="1" applyProtection="1">
      <alignment horizontal="left" vertical="center" wrapText="1"/>
    </xf>
    <xf numFmtId="0" fontId="23" fillId="0" borderId="0" xfId="878" applyNumberFormat="1" applyFont="1" applyFill="1" applyAlignment="1" applyProtection="1">
      <alignment horizontal="left"/>
    </xf>
    <xf numFmtId="40" fontId="8" fillId="0" borderId="0" xfId="878" applyNumberFormat="1" applyFont="1" applyFill="1" applyProtection="1"/>
    <xf numFmtId="41" fontId="8" fillId="0" borderId="0" xfId="878" applyNumberFormat="1" applyFont="1" applyFill="1" applyProtection="1"/>
    <xf numFmtId="41" fontId="8" fillId="0" borderId="0" xfId="878" applyNumberFormat="1" applyFont="1" applyFill="1" applyBorder="1" applyAlignment="1" applyProtection="1">
      <alignment vertical="top"/>
    </xf>
    <xf numFmtId="180" fontId="8" fillId="0" borderId="0" xfId="878" applyNumberFormat="1" applyFont="1" applyFill="1" applyProtection="1"/>
    <xf numFmtId="0" fontId="8" fillId="0" borderId="0" xfId="878" applyNumberFormat="1" applyFont="1" applyFill="1" applyAlignment="1" applyProtection="1">
      <alignment horizontal="left"/>
    </xf>
    <xf numFmtId="0" fontId="9" fillId="0" borderId="0" xfId="878" applyFont="1" applyFill="1" applyBorder="1" applyProtection="1"/>
    <xf numFmtId="38" fontId="8" fillId="0" borderId="14" xfId="0" applyNumberFormat="1" applyFont="1" applyFill="1" applyBorder="1" applyProtection="1"/>
    <xf numFmtId="10" fontId="8" fillId="0" borderId="0" xfId="899" applyNumberFormat="1" applyFont="1" applyFill="1" applyAlignment="1" applyProtection="1">
      <alignment horizontal="right"/>
    </xf>
    <xf numFmtId="0" fontId="83" fillId="0" borderId="0" xfId="878" applyFont="1" applyFill="1" applyBorder="1" applyProtection="1"/>
    <xf numFmtId="43" fontId="8" fillId="0" borderId="0" xfId="878" applyNumberFormat="1" applyFont="1" applyFill="1" applyProtection="1"/>
    <xf numFmtId="0" fontId="8" fillId="0" borderId="0" xfId="878" applyNumberFormat="1" applyFont="1" applyFill="1" applyAlignment="1" applyProtection="1">
      <alignment horizontal="center"/>
    </xf>
    <xf numFmtId="43" fontId="85" fillId="27" borderId="0" xfId="311" applyFont="1" applyFill="1" applyBorder="1" applyProtection="1"/>
    <xf numFmtId="3" fontId="13" fillId="0" borderId="0" xfId="0" applyNumberFormat="1" applyFont="1" applyFill="1" applyProtection="1"/>
    <xf numFmtId="40" fontId="13" fillId="0" borderId="0" xfId="0" applyNumberFormat="1" applyFont="1" applyFill="1" applyProtection="1"/>
    <xf numFmtId="43" fontId="20" fillId="27" borderId="0" xfId="198" applyFont="1" applyFill="1" applyBorder="1" applyProtection="1"/>
    <xf numFmtId="37" fontId="8" fillId="0" borderId="0" xfId="878" applyNumberFormat="1" applyFont="1" applyFill="1" applyProtection="1"/>
    <xf numFmtId="37" fontId="8" fillId="0" borderId="0" xfId="878" applyNumberFormat="1" applyFont="1" applyFill="1" applyBorder="1" applyAlignment="1" applyProtection="1">
      <alignment vertical="top"/>
    </xf>
    <xf numFmtId="0" fontId="9" fillId="0" borderId="0" xfId="879" applyFont="1" applyFill="1" applyBorder="1" applyProtection="1"/>
    <xf numFmtId="37" fontId="8" fillId="0" borderId="14" xfId="0" applyNumberFormat="1" applyFont="1" applyFill="1" applyBorder="1" applyProtection="1"/>
    <xf numFmtId="0" fontId="8" fillId="0" borderId="0" xfId="878" applyFont="1" applyFill="1" applyAlignment="1" applyProtection="1">
      <alignment horizontal="right"/>
    </xf>
    <xf numFmtId="37" fontId="8" fillId="0" borderId="0" xfId="0" applyNumberFormat="1" applyFont="1" applyFill="1" applyProtection="1"/>
    <xf numFmtId="0" fontId="9" fillId="0" borderId="0" xfId="878" applyNumberFormat="1" applyFont="1" applyFill="1" applyAlignment="1" applyProtection="1">
      <alignment horizontal="center"/>
    </xf>
    <xf numFmtId="37" fontId="9" fillId="0" borderId="0" xfId="198" applyNumberFormat="1" applyFont="1" applyFill="1" applyAlignment="1" applyProtection="1">
      <alignment horizontal="center"/>
    </xf>
    <xf numFmtId="41" fontId="20" fillId="27" borderId="0" xfId="878" applyNumberFormat="1" applyFont="1" applyFill="1" applyBorder="1" applyAlignment="1" applyProtection="1">
      <alignment horizontal="center"/>
    </xf>
    <xf numFmtId="0" fontId="85" fillId="27" borderId="0" xfId="311" applyNumberFormat="1" applyFont="1" applyFill="1" applyBorder="1" applyProtection="1"/>
    <xf numFmtId="41" fontId="8" fillId="0" borderId="14" xfId="878" applyNumberFormat="1" applyFont="1" applyFill="1" applyBorder="1" applyProtection="1"/>
    <xf numFmtId="192" fontId="16" fillId="0" borderId="0" xfId="878" applyNumberFormat="1" applyFont="1" applyFill="1" applyProtection="1"/>
    <xf numFmtId="0" fontId="8" fillId="0" borderId="0" xfId="0" applyFont="1" applyFill="1" applyAlignment="1" applyProtection="1">
      <alignment horizontal="center" vertical="center"/>
    </xf>
    <xf numFmtId="38" fontId="16" fillId="0" borderId="0" xfId="878" applyNumberFormat="1" applyFont="1" applyFill="1" applyProtection="1"/>
    <xf numFmtId="3" fontId="16" fillId="0" borderId="0" xfId="878" applyNumberFormat="1" applyFont="1" applyFill="1" applyProtection="1"/>
    <xf numFmtId="0" fontId="19" fillId="0" borderId="0" xfId="0" applyFont="1" applyFill="1" applyProtection="1"/>
    <xf numFmtId="0" fontId="7" fillId="0" borderId="0" xfId="0" applyFont="1" applyFill="1" applyAlignment="1" applyProtection="1">
      <alignment horizontal="center"/>
    </xf>
    <xf numFmtId="0" fontId="7" fillId="0" borderId="0" xfId="0" applyFont="1" applyFill="1" applyAlignment="1" applyProtection="1">
      <alignment wrapText="1"/>
    </xf>
    <xf numFmtId="10" fontId="8" fillId="27" borderId="0" xfId="899" applyNumberFormat="1" applyFont="1" applyFill="1" applyBorder="1" applyProtection="1"/>
    <xf numFmtId="37" fontId="8" fillId="0" borderId="0" xfId="0" applyNumberFormat="1" applyFont="1" applyFill="1" applyAlignment="1" applyProtection="1">
      <alignment horizontal="center"/>
    </xf>
    <xf numFmtId="10" fontId="20" fillId="27" borderId="0" xfId="899" applyNumberFormat="1" applyFont="1" applyFill="1" applyBorder="1" applyProtection="1"/>
    <xf numFmtId="0" fontId="16" fillId="0" borderId="0" xfId="0" applyFont="1" applyFill="1" applyProtection="1"/>
    <xf numFmtId="37" fontId="8" fillId="0" borderId="0" xfId="0" applyNumberFormat="1" applyFont="1" applyFill="1" applyAlignment="1" applyProtection="1"/>
    <xf numFmtId="175" fontId="8" fillId="0" borderId="0" xfId="0" applyNumberFormat="1" applyFont="1" applyFill="1" applyBorder="1" applyAlignment="1" applyProtection="1"/>
    <xf numFmtId="175" fontId="8" fillId="0" borderId="0" xfId="0" applyNumberFormat="1" applyFont="1" applyFill="1" applyProtection="1"/>
    <xf numFmtId="37" fontId="114" fillId="0" borderId="0" xfId="0" applyNumberFormat="1" applyFont="1" applyFill="1" applyAlignment="1" applyProtection="1"/>
    <xf numFmtId="175" fontId="114" fillId="0" borderId="0" xfId="0" applyNumberFormat="1" applyFont="1" applyFill="1" applyBorder="1" applyAlignment="1" applyProtection="1"/>
    <xf numFmtId="0" fontId="114" fillId="0" borderId="0" xfId="0" applyFont="1" applyFill="1" applyProtection="1"/>
    <xf numFmtId="175" fontId="8" fillId="0" borderId="15" xfId="0" applyNumberFormat="1" applyFont="1" applyFill="1" applyBorder="1" applyAlignment="1" applyProtection="1"/>
    <xf numFmtId="191" fontId="13" fillId="0" borderId="0" xfId="0" applyNumberFormat="1" applyFont="1" applyFill="1" applyProtection="1"/>
    <xf numFmtId="37" fontId="8" fillId="0" borderId="0" xfId="0" applyNumberFormat="1" applyFont="1" applyFill="1" applyAlignment="1" applyProtection="1">
      <alignment horizontal="left"/>
    </xf>
    <xf numFmtId="41" fontId="8" fillId="0" borderId="0" xfId="0" applyNumberFormat="1" applyFont="1" applyFill="1" applyProtection="1"/>
    <xf numFmtId="10" fontId="8" fillId="0" borderId="11" xfId="899" applyNumberFormat="1" applyFont="1" applyFill="1" applyBorder="1" applyAlignment="1" applyProtection="1"/>
    <xf numFmtId="9" fontId="20" fillId="27" borderId="11" xfId="0" applyNumberFormat="1" applyFont="1" applyFill="1" applyBorder="1" applyAlignment="1" applyProtection="1"/>
    <xf numFmtId="9" fontId="20" fillId="27" borderId="11" xfId="899" applyNumberFormat="1" applyFont="1" applyFill="1" applyBorder="1" applyProtection="1"/>
    <xf numFmtId="173" fontId="8" fillId="0" borderId="0" xfId="198" applyNumberFormat="1" applyFont="1" applyFill="1" applyBorder="1" applyAlignment="1" applyProtection="1"/>
    <xf numFmtId="172" fontId="8" fillId="0" borderId="0" xfId="881" applyFont="1" applyFill="1" applyAlignment="1" applyProtection="1">
      <alignment horizontal="right"/>
    </xf>
    <xf numFmtId="173" fontId="8" fillId="0" borderId="14" xfId="198" applyNumberFormat="1" applyFont="1" applyFill="1" applyBorder="1" applyAlignment="1" applyProtection="1"/>
    <xf numFmtId="3" fontId="20" fillId="27" borderId="0" xfId="0" applyNumberFormat="1" applyFont="1" applyFill="1" applyBorder="1" applyAlignment="1" applyProtection="1"/>
    <xf numFmtId="10" fontId="8" fillId="0" borderId="14" xfId="899" applyNumberFormat="1" applyFont="1" applyFill="1" applyBorder="1" applyAlignment="1" applyProtection="1">
      <alignment horizontal="right"/>
    </xf>
    <xf numFmtId="0" fontId="158" fillId="0" borderId="0" xfId="882" applyNumberFormat="1" applyFont="1" applyFill="1" applyAlignment="1" applyProtection="1"/>
    <xf numFmtId="0" fontId="13" fillId="0" borderId="0" xfId="882" applyNumberFormat="1" applyFont="1" applyFill="1" applyProtection="1"/>
    <xf numFmtId="184" fontId="13" fillId="0" borderId="0" xfId="882" applyNumberFormat="1" applyFont="1" applyFill="1" applyProtection="1"/>
    <xf numFmtId="0" fontId="13" fillId="0" borderId="0" xfId="882" applyFont="1" applyFill="1" applyProtection="1"/>
    <xf numFmtId="0" fontId="19" fillId="0" borderId="0" xfId="882" applyNumberFormat="1" applyFont="1" applyFill="1" applyAlignment="1" applyProtection="1">
      <alignment horizontal="center"/>
    </xf>
    <xf numFmtId="0" fontId="19" fillId="0" borderId="0" xfId="882" applyNumberFormat="1" applyFont="1" applyFill="1" applyProtection="1"/>
    <xf numFmtId="0" fontId="7" fillId="0" borderId="0" xfId="882" applyNumberFormat="1" applyFont="1" applyFill="1" applyAlignment="1" applyProtection="1">
      <alignment horizontal="center"/>
    </xf>
    <xf numFmtId="0" fontId="7" fillId="0" borderId="0" xfId="882" applyNumberFormat="1" applyFont="1" applyFill="1" applyProtection="1"/>
    <xf numFmtId="184" fontId="7" fillId="0" borderId="0" xfId="882" applyNumberFormat="1" applyFont="1" applyFill="1" applyAlignment="1" applyProtection="1">
      <alignment horizontal="center"/>
    </xf>
    <xf numFmtId="0" fontId="63" fillId="0" borderId="0" xfId="882" applyFont="1" applyFill="1" applyProtection="1"/>
    <xf numFmtId="0" fontId="10" fillId="0" borderId="0" xfId="882" applyFont="1" applyFill="1" applyProtection="1"/>
    <xf numFmtId="0" fontId="7" fillId="0" borderId="11" xfId="882" applyNumberFormat="1" applyFont="1" applyFill="1" applyBorder="1" applyAlignment="1" applyProtection="1">
      <alignment horizontal="center"/>
    </xf>
    <xf numFmtId="184" fontId="7" fillId="0" borderId="11" xfId="882" applyNumberFormat="1" applyFont="1" applyFill="1" applyBorder="1" applyAlignment="1" applyProtection="1">
      <alignment horizontal="center"/>
    </xf>
    <xf numFmtId="0" fontId="63" fillId="0" borderId="11" xfId="882" applyFont="1" applyFill="1" applyBorder="1" applyAlignment="1" applyProtection="1">
      <alignment horizontal="center"/>
    </xf>
    <xf numFmtId="0" fontId="10" fillId="0" borderId="0" xfId="882" applyFont="1" applyFill="1" applyAlignment="1" applyProtection="1">
      <alignment horizontal="center"/>
    </xf>
    <xf numFmtId="0" fontId="19" fillId="0" borderId="0" xfId="882" applyNumberFormat="1" applyFont="1" applyFill="1" applyBorder="1" applyAlignment="1" applyProtection="1">
      <alignment horizontal="center"/>
    </xf>
    <xf numFmtId="184" fontId="19" fillId="0" borderId="0" xfId="882" applyNumberFormat="1" applyFont="1" applyFill="1" applyAlignment="1" applyProtection="1">
      <alignment horizontal="center"/>
    </xf>
    <xf numFmtId="0" fontId="61" fillId="0" borderId="0" xfId="882" applyFont="1" applyFill="1" applyProtection="1"/>
    <xf numFmtId="0" fontId="116" fillId="0" borderId="0" xfId="882" applyNumberFormat="1" applyFont="1" applyFill="1" applyProtection="1"/>
    <xf numFmtId="184" fontId="19" fillId="0" borderId="0" xfId="882" applyNumberFormat="1" applyFont="1" applyFill="1" applyProtection="1"/>
    <xf numFmtId="0" fontId="19" fillId="0" borderId="0" xfId="882" applyFont="1" applyFill="1" applyProtection="1"/>
    <xf numFmtId="0" fontId="62" fillId="0" borderId="0" xfId="882" applyFont="1" applyFill="1" applyProtection="1"/>
    <xf numFmtId="173" fontId="61" fillId="0" borderId="0" xfId="882" applyNumberFormat="1" applyFont="1" applyFill="1" applyBorder="1" applyProtection="1"/>
    <xf numFmtId="173" fontId="87" fillId="27" borderId="0" xfId="311" applyNumberFormat="1" applyFont="1" applyFill="1" applyBorder="1" applyProtection="1"/>
    <xf numFmtId="0" fontId="61" fillId="0" borderId="0" xfId="882" applyFont="1" applyFill="1" applyBorder="1" applyProtection="1"/>
    <xf numFmtId="173" fontId="13" fillId="0" borderId="0" xfId="311" applyNumberFormat="1" applyFont="1" applyFill="1" applyProtection="1"/>
    <xf numFmtId="0" fontId="87" fillId="27" borderId="0" xfId="882" applyFont="1" applyFill="1" applyProtection="1"/>
    <xf numFmtId="173" fontId="159" fillId="27" borderId="0" xfId="311" applyNumberFormat="1" applyFont="1" applyFill="1" applyBorder="1" applyProtection="1"/>
    <xf numFmtId="0" fontId="19" fillId="0" borderId="0" xfId="880" applyFont="1" applyFill="1" applyAlignment="1" applyProtection="1">
      <alignment horizontal="center"/>
    </xf>
    <xf numFmtId="0" fontId="19" fillId="0" borderId="0" xfId="880" applyFont="1" applyFill="1" applyAlignment="1" applyProtection="1">
      <alignment horizontal="left" indent="2"/>
    </xf>
    <xf numFmtId="39" fontId="19" fillId="0" borderId="0" xfId="880" applyNumberFormat="1" applyFont="1" applyFill="1" applyProtection="1"/>
    <xf numFmtId="0" fontId="207" fillId="27" borderId="0" xfId="882" applyFont="1" applyFill="1" applyProtection="1"/>
    <xf numFmtId="43" fontId="61" fillId="0" borderId="0" xfId="198" applyFont="1" applyFill="1" applyProtection="1"/>
    <xf numFmtId="43" fontId="64" fillId="0" borderId="0" xfId="198" applyFont="1" applyFill="1" applyProtection="1"/>
    <xf numFmtId="173" fontId="64" fillId="0" borderId="0" xfId="198" applyNumberFormat="1" applyFont="1" applyFill="1" applyProtection="1"/>
    <xf numFmtId="173" fontId="8" fillId="0" borderId="0" xfId="198" applyNumberFormat="1" applyFont="1" applyFill="1" applyProtection="1"/>
    <xf numFmtId="173" fontId="61" fillId="0" borderId="15" xfId="198" applyNumberFormat="1" applyFont="1" applyFill="1" applyBorder="1" applyProtection="1"/>
    <xf numFmtId="0" fontId="61" fillId="0" borderId="0" xfId="882" applyFont="1" applyFill="1" applyAlignment="1" applyProtection="1">
      <alignment vertical="center"/>
    </xf>
    <xf numFmtId="0" fontId="13" fillId="0" borderId="0" xfId="0" applyFont="1" applyFill="1" applyAlignment="1" applyProtection="1">
      <alignment vertical="center"/>
    </xf>
    <xf numFmtId="173" fontId="61" fillId="0" borderId="0" xfId="882" applyNumberFormat="1" applyFont="1" applyFill="1" applyBorder="1" applyAlignment="1" applyProtection="1">
      <alignment vertical="center"/>
    </xf>
    <xf numFmtId="43" fontId="61" fillId="0" borderId="0" xfId="198" applyFont="1" applyFill="1" applyAlignment="1" applyProtection="1">
      <alignment vertical="center"/>
    </xf>
    <xf numFmtId="43" fontId="8" fillId="0" borderId="0" xfId="198" applyFont="1" applyFill="1" applyAlignment="1" applyProtection="1">
      <alignment vertical="center"/>
    </xf>
    <xf numFmtId="173" fontId="8" fillId="0" borderId="0" xfId="198" applyNumberFormat="1" applyFont="1" applyFill="1" applyAlignment="1" applyProtection="1">
      <alignment vertical="center"/>
    </xf>
    <xf numFmtId="43" fontId="64" fillId="0" borderId="0" xfId="198" applyFont="1" applyFill="1" applyAlignment="1" applyProtection="1">
      <alignment horizontal="right" vertical="center"/>
    </xf>
    <xf numFmtId="0" fontId="13" fillId="0" borderId="0" xfId="882" applyNumberFormat="1" applyFont="1" applyFill="1" applyAlignment="1" applyProtection="1">
      <alignment horizontal="center"/>
    </xf>
    <xf numFmtId="184" fontId="10" fillId="0" borderId="0" xfId="882" quotePrefix="1" applyNumberFormat="1" applyFont="1" applyFill="1" applyAlignment="1" applyProtection="1">
      <alignment horizontal="left"/>
    </xf>
    <xf numFmtId="173" fontId="61" fillId="0" borderId="13" xfId="198" applyNumberFormat="1" applyFont="1" applyFill="1" applyBorder="1" applyProtection="1"/>
    <xf numFmtId="0" fontId="16" fillId="0" borderId="0" xfId="1172" applyFont="1" applyAlignment="1" applyProtection="1"/>
    <xf numFmtId="0" fontId="16" fillId="0" borderId="0" xfId="1172" applyNumberFormat="1" applyFont="1" applyAlignment="1" applyProtection="1">
      <alignment horizontal="center"/>
    </xf>
    <xf numFmtId="0" fontId="70" fillId="0" borderId="0" xfId="1173" applyFont="1" applyAlignment="1" applyProtection="1">
      <alignment horizontal="centerContinuous"/>
    </xf>
    <xf numFmtId="0" fontId="16" fillId="0" borderId="0" xfId="1173" applyFont="1" applyFill="1" applyAlignment="1" applyProtection="1">
      <alignment horizontal="left"/>
    </xf>
    <xf numFmtId="0" fontId="70" fillId="0" borderId="0" xfId="1173" applyFont="1" applyAlignment="1" applyProtection="1">
      <alignment horizontal="center"/>
    </xf>
    <xf numFmtId="0" fontId="5" fillId="0" borderId="0" xfId="1172" applyNumberFormat="1" applyFont="1" applyAlignment="1" applyProtection="1">
      <alignment horizontal="center"/>
    </xf>
    <xf numFmtId="0" fontId="10" fillId="0" borderId="0" xfId="1173" applyFont="1" applyAlignment="1" applyProtection="1">
      <alignment horizontal="centerContinuous"/>
    </xf>
    <xf numFmtId="0" fontId="5" fillId="0" borderId="53" xfId="1172" applyNumberFormat="1" applyFont="1" applyBorder="1" applyAlignment="1" applyProtection="1">
      <alignment horizontal="center" wrapText="1"/>
    </xf>
    <xf numFmtId="0" fontId="10" fillId="0" borderId="52" xfId="1173" applyFont="1" applyBorder="1" applyAlignment="1" applyProtection="1">
      <alignment horizontal="center" wrapText="1"/>
    </xf>
    <xf numFmtId="0" fontId="10" fillId="0" borderId="51" xfId="1173" applyFont="1" applyBorder="1" applyAlignment="1" applyProtection="1">
      <alignment horizontal="center" wrapText="1"/>
    </xf>
    <xf numFmtId="0" fontId="10" fillId="0" borderId="0" xfId="1173" applyFont="1" applyBorder="1" applyAlignment="1" applyProtection="1">
      <alignment horizontal="center" wrapText="1"/>
    </xf>
    <xf numFmtId="0" fontId="10" fillId="0" borderId="16" xfId="1173" applyFont="1" applyBorder="1" applyAlignment="1" applyProtection="1">
      <alignment horizontal="center" wrapText="1"/>
    </xf>
    <xf numFmtId="0" fontId="16" fillId="0" borderId="0" xfId="1172" applyFont="1" applyAlignment="1" applyProtection="1">
      <alignment wrapText="1"/>
    </xf>
    <xf numFmtId="0" fontId="5" fillId="0" borderId="51" xfId="1172" applyNumberFormat="1" applyFont="1" applyBorder="1" applyAlignment="1" applyProtection="1">
      <alignment horizontal="center"/>
    </xf>
    <xf numFmtId="0" fontId="10" fillId="0" borderId="50" xfId="1173" applyFont="1" applyBorder="1" applyAlignment="1" applyProtection="1">
      <alignment horizontal="center"/>
    </xf>
    <xf numFmtId="0" fontId="10" fillId="0" borderId="51" xfId="1173" applyFont="1" applyBorder="1" applyAlignment="1" applyProtection="1">
      <alignment horizontal="center"/>
    </xf>
    <xf numFmtId="0" fontId="10" fillId="0" borderId="0" xfId="1173" applyFont="1" applyBorder="1" applyAlignment="1" applyProtection="1">
      <alignment horizontal="center"/>
    </xf>
    <xf numFmtId="0" fontId="10" fillId="0" borderId="10" xfId="1173" applyFont="1" applyBorder="1" applyAlignment="1" applyProtection="1">
      <alignment horizontal="center"/>
    </xf>
    <xf numFmtId="0" fontId="162" fillId="0" borderId="0" xfId="1172" applyFont="1" applyAlignment="1" applyProtection="1"/>
    <xf numFmtId="3" fontId="21" fillId="0" borderId="49" xfId="1172" applyNumberFormat="1" applyFont="1" applyFill="1" applyBorder="1" applyAlignment="1" applyProtection="1">
      <alignment horizontal="center" wrapText="1"/>
    </xf>
    <xf numFmtId="3" fontId="21" fillId="0" borderId="11" xfId="1172" applyNumberFormat="1" applyFont="1" applyFill="1" applyBorder="1" applyAlignment="1" applyProtection="1">
      <alignment horizontal="center" wrapText="1"/>
    </xf>
    <xf numFmtId="3" fontId="21" fillId="0" borderId="68" xfId="1172" applyNumberFormat="1" applyFont="1" applyFill="1" applyBorder="1" applyAlignment="1" applyProtection="1">
      <alignment wrapText="1"/>
    </xf>
    <xf numFmtId="0" fontId="5" fillId="0" borderId="50" xfId="1173" quotePrefix="1" applyFont="1" applyBorder="1" applyAlignment="1" applyProtection="1">
      <alignment horizontal="left"/>
    </xf>
    <xf numFmtId="41" fontId="5" fillId="0" borderId="10" xfId="1173" applyNumberFormat="1" applyFont="1" applyFill="1" applyBorder="1" applyProtection="1"/>
    <xf numFmtId="0" fontId="5" fillId="0" borderId="50" xfId="1173" applyFont="1" applyBorder="1" applyProtection="1"/>
    <xf numFmtId="0" fontId="5" fillId="0" borderId="49" xfId="1172" applyNumberFormat="1" applyFont="1" applyBorder="1" applyAlignment="1" applyProtection="1">
      <alignment horizontal="center"/>
    </xf>
    <xf numFmtId="0" fontId="5" fillId="0" borderId="48" xfId="1173" applyFont="1" applyBorder="1" applyProtection="1"/>
    <xf numFmtId="0" fontId="5" fillId="0" borderId="29" xfId="1172" applyNumberFormat="1" applyFont="1" applyBorder="1" applyAlignment="1" applyProtection="1">
      <alignment horizontal="center"/>
    </xf>
    <xf numFmtId="173" fontId="5" fillId="0" borderId="66" xfId="1175" applyNumberFormat="1" applyFont="1" applyBorder="1" applyProtection="1"/>
    <xf numFmtId="0" fontId="5" fillId="0" borderId="0" xfId="1173" applyFont="1" applyProtection="1"/>
    <xf numFmtId="37" fontId="5" fillId="0" borderId="0" xfId="1173" applyNumberFormat="1" applyFont="1" applyProtection="1"/>
    <xf numFmtId="3" fontId="21" fillId="0" borderId="68" xfId="1172" applyNumberFormat="1" applyFont="1" applyFill="1" applyBorder="1" applyAlignment="1" applyProtection="1">
      <alignment horizontal="center" wrapText="1"/>
    </xf>
    <xf numFmtId="0" fontId="16" fillId="0" borderId="0" xfId="1173" applyFont="1" applyProtection="1"/>
    <xf numFmtId="37" fontId="16" fillId="0" borderId="0" xfId="1173" applyNumberFormat="1" applyFont="1" applyProtection="1"/>
    <xf numFmtId="172" fontId="16" fillId="0" borderId="0" xfId="1124" applyFont="1" applyAlignment="1" applyProtection="1"/>
    <xf numFmtId="0" fontId="162" fillId="0" borderId="0" xfId="1172" applyNumberFormat="1" applyFont="1" applyAlignment="1" applyProtection="1">
      <alignment horizontal="center"/>
    </xf>
    <xf numFmtId="0" fontId="70" fillId="0" borderId="0" xfId="1172" applyFont="1" applyAlignment="1" applyProtection="1">
      <alignment horizontal="center"/>
    </xf>
    <xf numFmtId="0" fontId="70" fillId="0" borderId="0" xfId="1172" quotePrefix="1" applyFont="1" applyAlignment="1" applyProtection="1">
      <alignment horizontal="center"/>
    </xf>
    <xf numFmtId="173" fontId="85" fillId="0" borderId="0" xfId="1175" applyNumberFormat="1" applyFont="1" applyFill="1" applyProtection="1"/>
    <xf numFmtId="0" fontId="85" fillId="27" borderId="0" xfId="1176" quotePrefix="1" applyFont="1" applyFill="1" applyAlignment="1" applyProtection="1">
      <alignment horizontal="left"/>
    </xf>
    <xf numFmtId="173" fontId="85" fillId="27" borderId="0" xfId="1184" applyNumberFormat="1" applyFont="1" applyFill="1" applyBorder="1" applyProtection="1"/>
    <xf numFmtId="0" fontId="16" fillId="0" borderId="11" xfId="1172" applyFont="1" applyBorder="1" applyAlignment="1" applyProtection="1"/>
    <xf numFmtId="0" fontId="8" fillId="0" borderId="0" xfId="0" applyFont="1" applyAlignment="1" applyProtection="1"/>
    <xf numFmtId="0" fontId="81" fillId="0" borderId="0" xfId="0" applyFont="1" applyAlignment="1" applyProtection="1">
      <alignment vertical="center"/>
    </xf>
    <xf numFmtId="0" fontId="196" fillId="0" borderId="0" xfId="0" applyFont="1" applyFill="1" applyAlignment="1" applyProtection="1">
      <alignment horizontal="left"/>
    </xf>
    <xf numFmtId="0" fontId="196" fillId="0" borderId="0" xfId="0" applyFont="1" applyFill="1" applyProtection="1"/>
    <xf numFmtId="1" fontId="5" fillId="27" borderId="38" xfId="198" applyNumberFormat="1" applyFont="1" applyFill="1" applyBorder="1" applyAlignment="1" applyProtection="1">
      <alignment horizontal="center" wrapText="1"/>
    </xf>
    <xf numFmtId="0" fontId="196" fillId="0" borderId="0" xfId="0" applyFont="1" applyFill="1" applyBorder="1" applyAlignment="1" applyProtection="1">
      <alignment horizontal="center" wrapText="1"/>
    </xf>
    <xf numFmtId="0" fontId="196" fillId="0" borderId="38" xfId="0" applyFont="1" applyFill="1" applyBorder="1" applyAlignment="1" applyProtection="1">
      <alignment horizontal="center" wrapText="1"/>
    </xf>
    <xf numFmtId="0" fontId="196" fillId="0" borderId="0" xfId="0" applyFont="1" applyFill="1" applyAlignment="1" applyProtection="1">
      <alignment horizontal="right"/>
    </xf>
    <xf numFmtId="1" fontId="85" fillId="27" borderId="0" xfId="198" applyNumberFormat="1" applyFont="1" applyFill="1" applyBorder="1" applyAlignment="1" applyProtection="1">
      <alignment horizontal="center"/>
    </xf>
    <xf numFmtId="0" fontId="196" fillId="0" borderId="28" xfId="0" applyFont="1" applyFill="1" applyBorder="1" applyAlignment="1" applyProtection="1">
      <alignment horizontal="center" wrapText="1"/>
    </xf>
    <xf numFmtId="0" fontId="196" fillId="0" borderId="28" xfId="0" applyFont="1" applyFill="1" applyBorder="1" applyProtection="1"/>
    <xf numFmtId="170" fontId="196" fillId="0" borderId="0" xfId="0" applyNumberFormat="1" applyFont="1" applyFill="1" applyAlignment="1" applyProtection="1">
      <alignment horizontal="right"/>
    </xf>
    <xf numFmtId="170" fontId="196" fillId="0" borderId="0" xfId="0" applyNumberFormat="1" applyFont="1" applyFill="1" applyProtection="1"/>
    <xf numFmtId="0" fontId="5" fillId="0" borderId="0" xfId="0" applyNumberFormat="1" applyFont="1" applyAlignment="1" applyProtection="1">
      <alignment horizontal="center"/>
    </xf>
    <xf numFmtId="170" fontId="5" fillId="27" borderId="39" xfId="198" applyNumberFormat="1" applyFont="1" applyFill="1" applyBorder="1" applyAlignment="1" applyProtection="1">
      <alignment horizontal="center" wrapText="1"/>
    </xf>
    <xf numFmtId="170" fontId="82" fillId="0" borderId="0" xfId="0" applyNumberFormat="1" applyFont="1" applyFill="1" applyAlignment="1" applyProtection="1">
      <alignment horizontal="center"/>
    </xf>
    <xf numFmtId="0" fontId="82" fillId="0" borderId="0" xfId="0" quotePrefix="1" applyNumberFormat="1" applyFont="1" applyFill="1" applyAlignment="1" applyProtection="1">
      <alignment horizontal="center"/>
    </xf>
    <xf numFmtId="5" fontId="196" fillId="0" borderId="39" xfId="0" applyNumberFormat="1" applyFont="1" applyFill="1" applyBorder="1" applyAlignment="1" applyProtection="1">
      <alignment horizontal="center"/>
    </xf>
    <xf numFmtId="170" fontId="8" fillId="0" borderId="0" xfId="0" applyNumberFormat="1" applyFont="1" applyFill="1" applyProtection="1"/>
    <xf numFmtId="0" fontId="196" fillId="0" borderId="0" xfId="0" applyNumberFormat="1" applyFont="1" applyFill="1" applyAlignment="1" applyProtection="1">
      <alignment horizontal="right"/>
    </xf>
    <xf numFmtId="173" fontId="196" fillId="0" borderId="0" xfId="0" applyNumberFormat="1" applyFont="1" applyFill="1" applyProtection="1"/>
    <xf numFmtId="0" fontId="196" fillId="0" borderId="0" xfId="0" applyNumberFormat="1" applyFont="1" applyFill="1" applyAlignment="1" applyProtection="1">
      <alignment horizontal="center"/>
    </xf>
    <xf numFmtId="0" fontId="196" fillId="0" borderId="0" xfId="0" applyFont="1" applyFill="1" applyAlignment="1" applyProtection="1">
      <alignment horizontal="center"/>
    </xf>
    <xf numFmtId="173" fontId="196" fillId="0" borderId="6" xfId="0" applyNumberFormat="1" applyFont="1" applyFill="1" applyBorder="1" applyProtection="1"/>
    <xf numFmtId="0" fontId="196" fillId="0" borderId="6" xfId="0" applyFont="1" applyFill="1" applyBorder="1" applyAlignment="1" applyProtection="1">
      <alignment horizontal="center"/>
    </xf>
    <xf numFmtId="43" fontId="196" fillId="0" borderId="6" xfId="0" applyNumberFormat="1" applyFont="1" applyFill="1" applyBorder="1" applyProtection="1"/>
    <xf numFmtId="0" fontId="8" fillId="0" borderId="6" xfId="0" applyFont="1" applyFill="1" applyBorder="1" applyProtection="1"/>
    <xf numFmtId="173" fontId="196" fillId="0" borderId="0" xfId="0" applyNumberFormat="1" applyFont="1" applyFill="1" applyAlignment="1" applyProtection="1">
      <alignment horizontal="left"/>
    </xf>
    <xf numFmtId="0" fontId="82" fillId="0" borderId="0" xfId="0" applyNumberFormat="1" applyFont="1" applyFill="1" applyAlignment="1" applyProtection="1">
      <alignment horizontal="center" wrapText="1"/>
    </xf>
    <xf numFmtId="0" fontId="82" fillId="0" borderId="0" xfId="0" applyFont="1" applyFill="1" applyAlignment="1" applyProtection="1">
      <alignment horizontal="center" wrapText="1"/>
    </xf>
    <xf numFmtId="173" fontId="82" fillId="0" borderId="0" xfId="0" applyNumberFormat="1" applyFont="1" applyFill="1" applyAlignment="1" applyProtection="1">
      <alignment horizontal="center" wrapText="1"/>
    </xf>
    <xf numFmtId="0" fontId="82" fillId="0" borderId="0" xfId="0" applyFont="1" applyFill="1" applyAlignment="1" applyProtection="1">
      <alignment horizontal="center"/>
    </xf>
    <xf numFmtId="173" fontId="82" fillId="0" borderId="0" xfId="0" applyNumberFormat="1" applyFont="1" applyFill="1" applyAlignment="1" applyProtection="1">
      <alignment horizontal="center"/>
    </xf>
    <xf numFmtId="0" fontId="82" fillId="0" borderId="0" xfId="0" applyNumberFormat="1" applyFont="1" applyFill="1" applyAlignment="1" applyProtection="1">
      <alignment horizontal="left"/>
    </xf>
    <xf numFmtId="175" fontId="196" fillId="0" borderId="0" xfId="912" applyNumberFormat="1" applyFont="1" applyFill="1" applyProtection="1"/>
    <xf numFmtId="0" fontId="197" fillId="0" borderId="0" xfId="0" applyFont="1" applyFill="1" applyAlignment="1" applyProtection="1">
      <alignment horizontal="center"/>
    </xf>
    <xf numFmtId="0" fontId="198" fillId="0" borderId="0" xfId="0" applyFont="1" applyFill="1" applyAlignment="1" applyProtection="1">
      <alignment horizontal="left"/>
    </xf>
    <xf numFmtId="14" fontId="196" fillId="0" borderId="0" xfId="0" applyNumberFormat="1" applyFont="1" applyFill="1" applyAlignment="1" applyProtection="1">
      <alignment horizontal="left"/>
    </xf>
    <xf numFmtId="173" fontId="196" fillId="0" borderId="0" xfId="202" applyNumberFormat="1" applyFont="1" applyFill="1" applyProtection="1"/>
    <xf numFmtId="173" fontId="196" fillId="0" borderId="0" xfId="275" applyNumberFormat="1" applyFont="1" applyFill="1" applyProtection="1"/>
    <xf numFmtId="164" fontId="196" fillId="0" borderId="0" xfId="0" applyNumberFormat="1" applyFont="1" applyFill="1" applyAlignment="1" applyProtection="1">
      <alignment horizontal="center"/>
    </xf>
    <xf numFmtId="0" fontId="196" fillId="0" borderId="0" xfId="0" applyNumberFormat="1" applyFont="1" applyFill="1" applyProtection="1"/>
    <xf numFmtId="173" fontId="196" fillId="0" borderId="0" xfId="202" applyNumberFormat="1" applyFont="1" applyFill="1" applyBorder="1" applyProtection="1"/>
    <xf numFmtId="173" fontId="82" fillId="0" borderId="0" xfId="202" applyNumberFormat="1" applyFont="1" applyFill="1" applyProtection="1"/>
    <xf numFmtId="173" fontId="8" fillId="0" borderId="0" xfId="202" applyNumberFormat="1" applyFont="1" applyFill="1" applyProtection="1"/>
    <xf numFmtId="173" fontId="82" fillId="0" borderId="0" xfId="202" applyNumberFormat="1" applyFont="1" applyFill="1" applyBorder="1" applyAlignment="1" applyProtection="1">
      <alignment horizontal="center"/>
    </xf>
    <xf numFmtId="10" fontId="5" fillId="0" borderId="0" xfId="900" applyNumberFormat="1" applyFont="1" applyProtection="1"/>
    <xf numFmtId="0" fontId="197" fillId="0" borderId="0" xfId="0" applyFont="1" applyFill="1" applyProtection="1"/>
    <xf numFmtId="173" fontId="82" fillId="0" borderId="0" xfId="202" applyNumberFormat="1" applyFont="1" applyFill="1" applyAlignment="1" applyProtection="1">
      <alignment horizontal="center"/>
    </xf>
    <xf numFmtId="0" fontId="198" fillId="0" borderId="0" xfId="0" applyFont="1" applyFill="1" applyProtection="1"/>
    <xf numFmtId="173" fontId="82" fillId="0" borderId="0" xfId="0" applyNumberFormat="1" applyFont="1" applyFill="1" applyProtection="1"/>
    <xf numFmtId="43" fontId="5" fillId="0" borderId="0" xfId="0" applyNumberFormat="1" applyFont="1" applyProtection="1"/>
    <xf numFmtId="14" fontId="196" fillId="0" borderId="6" xfId="0" applyNumberFormat="1" applyFont="1" applyFill="1" applyBorder="1" applyAlignment="1" applyProtection="1">
      <alignment horizontal="left"/>
    </xf>
    <xf numFmtId="0" fontId="196" fillId="0" borderId="6" xfId="0" applyFont="1" applyFill="1" applyBorder="1" applyProtection="1"/>
    <xf numFmtId="173" fontId="196" fillId="0" borderId="6" xfId="202" applyNumberFormat="1" applyFont="1" applyFill="1" applyBorder="1" applyProtection="1"/>
    <xf numFmtId="164" fontId="196" fillId="0" borderId="6" xfId="0" applyNumberFormat="1" applyFont="1" applyFill="1" applyBorder="1" applyAlignment="1" applyProtection="1">
      <alignment horizontal="center"/>
    </xf>
    <xf numFmtId="0" fontId="196" fillId="0" borderId="2" xfId="0" applyFont="1" applyFill="1" applyBorder="1" applyProtection="1"/>
    <xf numFmtId="0" fontId="8" fillId="0" borderId="2" xfId="0" applyFont="1" applyFill="1" applyBorder="1" applyProtection="1"/>
    <xf numFmtId="173" fontId="8" fillId="0" borderId="2" xfId="202" applyNumberFormat="1" applyFont="1" applyFill="1" applyBorder="1" applyProtection="1"/>
    <xf numFmtId="173" fontId="196" fillId="0" borderId="2" xfId="202" applyNumberFormat="1" applyFont="1" applyFill="1" applyBorder="1" applyProtection="1"/>
    <xf numFmtId="0" fontId="196" fillId="0" borderId="0" xfId="0" applyFont="1" applyFill="1" applyBorder="1" applyProtection="1"/>
    <xf numFmtId="0" fontId="8" fillId="0" borderId="0" xfId="0" applyFont="1" applyFill="1" applyBorder="1" applyProtection="1"/>
    <xf numFmtId="173" fontId="8" fillId="0" borderId="0" xfId="202" applyNumberFormat="1" applyFont="1" applyFill="1" applyBorder="1" applyProtection="1"/>
    <xf numFmtId="0" fontId="196" fillId="0" borderId="11" xfId="0" applyFont="1" applyFill="1" applyBorder="1" applyProtection="1"/>
    <xf numFmtId="0" fontId="8" fillId="0" borderId="11" xfId="0" applyFont="1" applyFill="1" applyBorder="1" applyProtection="1"/>
    <xf numFmtId="173" fontId="8" fillId="0" borderId="11" xfId="202" applyNumberFormat="1" applyFont="1" applyFill="1" applyBorder="1" applyProtection="1"/>
    <xf numFmtId="173" fontId="196" fillId="0" borderId="11" xfId="202" applyNumberFormat="1" applyFont="1" applyFill="1" applyBorder="1" applyProtection="1"/>
    <xf numFmtId="0" fontId="196" fillId="0" borderId="0" xfId="0" applyFont="1" applyFill="1" applyAlignment="1" applyProtection="1">
      <alignment wrapText="1"/>
    </xf>
    <xf numFmtId="43" fontId="5" fillId="0" borderId="0" xfId="775" applyNumberFormat="1" applyFont="1" applyFill="1" applyBorder="1" applyProtection="1"/>
    <xf numFmtId="0" fontId="9" fillId="0" borderId="0" xfId="0" applyFont="1" applyFill="1" applyAlignment="1" applyProtection="1"/>
    <xf numFmtId="0" fontId="197" fillId="0" borderId="0" xfId="0" applyFont="1" applyFill="1" applyAlignment="1" applyProtection="1">
      <alignment horizontal="left"/>
    </xf>
    <xf numFmtId="173" fontId="196" fillId="0" borderId="6" xfId="275" applyNumberFormat="1" applyFont="1" applyFill="1" applyBorder="1" applyProtection="1"/>
    <xf numFmtId="0" fontId="196" fillId="0" borderId="6" xfId="0" applyNumberFormat="1" applyFont="1" applyFill="1" applyBorder="1" applyProtection="1"/>
    <xf numFmtId="0" fontId="5" fillId="0" borderId="2" xfId="0" applyFont="1" applyBorder="1" applyProtection="1"/>
    <xf numFmtId="0" fontId="5" fillId="0" borderId="0" xfId="0" applyFont="1" applyBorder="1" applyProtection="1"/>
    <xf numFmtId="0" fontId="5" fillId="0" borderId="11" xfId="0" applyFont="1" applyBorder="1" applyProtection="1"/>
    <xf numFmtId="0" fontId="8" fillId="0" borderId="0" xfId="862" applyFont="1" applyAlignment="1" applyProtection="1"/>
    <xf numFmtId="0" fontId="16" fillId="0" borderId="0" xfId="862" applyFont="1" applyAlignment="1" applyProtection="1"/>
    <xf numFmtId="174" fontId="16" fillId="0" borderId="0" xfId="862" applyNumberFormat="1" applyFont="1" applyBorder="1" applyAlignment="1" applyProtection="1"/>
    <xf numFmtId="1" fontId="16" fillId="0" borderId="0" xfId="862" applyNumberFormat="1" applyFont="1" applyAlignment="1" applyProtection="1">
      <alignment horizontal="left"/>
    </xf>
    <xf numFmtId="0" fontId="16" fillId="0" borderId="0" xfId="862" quotePrefix="1" applyFont="1" applyAlignment="1" applyProtection="1">
      <alignment horizontal="left"/>
    </xf>
    <xf numFmtId="1" fontId="16" fillId="0" borderId="0" xfId="862" applyNumberFormat="1" applyFont="1" applyAlignment="1" applyProtection="1">
      <alignment horizontal="center"/>
    </xf>
    <xf numFmtId="14" fontId="16" fillId="0" borderId="0" xfId="862" quotePrefix="1" applyNumberFormat="1" applyFont="1" applyAlignment="1" applyProtection="1">
      <alignment horizontal="left"/>
    </xf>
    <xf numFmtId="43" fontId="16" fillId="0" borderId="0" xfId="862" applyNumberFormat="1" applyFont="1" applyAlignment="1" applyProtection="1"/>
    <xf numFmtId="10" fontId="16" fillId="0" borderId="0" xfId="862" applyNumberFormat="1" applyFont="1" applyAlignment="1" applyProtection="1"/>
    <xf numFmtId="0" fontId="16" fillId="0" borderId="0" xfId="862" quotePrefix="1" applyFont="1" applyBorder="1" applyAlignment="1" applyProtection="1">
      <alignment horizontal="left"/>
    </xf>
    <xf numFmtId="43" fontId="16" fillId="0" borderId="0" xfId="862" applyNumberFormat="1" applyFont="1" applyBorder="1" applyAlignment="1" applyProtection="1"/>
    <xf numFmtId="0" fontId="200" fillId="0" borderId="0" xfId="862" applyFont="1" applyAlignment="1" applyProtection="1"/>
    <xf numFmtId="0" fontId="16" fillId="0" borderId="0" xfId="862" applyFont="1" applyAlignment="1" applyProtection="1">
      <alignment horizontal="left"/>
    </xf>
    <xf numFmtId="0" fontId="16" fillId="0" borderId="0" xfId="862" applyFont="1" applyBorder="1" applyAlignment="1" applyProtection="1"/>
    <xf numFmtId="10" fontId="16" fillId="0" borderId="0" xfId="862" applyNumberFormat="1" applyFont="1" applyBorder="1" applyAlignment="1" applyProtection="1"/>
    <xf numFmtId="164" fontId="16" fillId="0" borderId="0" xfId="862" applyNumberFormat="1" applyFont="1" applyAlignment="1" applyProtection="1"/>
    <xf numFmtId="0" fontId="196" fillId="0" borderId="0" xfId="0" applyFont="1" applyFill="1" applyBorder="1" applyAlignment="1" applyProtection="1">
      <alignment wrapText="1"/>
    </xf>
    <xf numFmtId="49" fontId="8" fillId="0" borderId="0" xfId="791" applyNumberFormat="1" applyFont="1" applyFill="1" applyBorder="1" applyAlignment="1" applyProtection="1">
      <alignment horizontal="center"/>
    </xf>
    <xf numFmtId="3" fontId="8" fillId="0" borderId="0" xfId="0" applyNumberFormat="1" applyFont="1" applyFill="1" applyBorder="1" applyAlignment="1" applyProtection="1">
      <alignment horizontal="center"/>
    </xf>
    <xf numFmtId="49" fontId="8" fillId="0" borderId="0" xfId="791" applyNumberFormat="1" applyFont="1" applyFill="1" applyBorder="1" applyAlignment="1" applyProtection="1">
      <alignment horizontal="left"/>
    </xf>
    <xf numFmtId="0" fontId="5" fillId="0" borderId="0" xfId="791" applyFont="1" applyFill="1" applyBorder="1" applyAlignment="1" applyProtection="1">
      <alignment horizontal="center"/>
    </xf>
    <xf numFmtId="0" fontId="10" fillId="0" borderId="0" xfId="791" quotePrefix="1" applyFont="1" applyFill="1" applyBorder="1" applyAlignment="1" applyProtection="1">
      <alignment horizontal="center"/>
    </xf>
    <xf numFmtId="0" fontId="18" fillId="0" borderId="0" xfId="791" quotePrefix="1" applyFont="1" applyFill="1" applyBorder="1" applyAlignment="1" applyProtection="1">
      <alignment horizontal="center"/>
    </xf>
    <xf numFmtId="0" fontId="18" fillId="0" borderId="0" xfId="879" applyFont="1" applyFill="1" applyAlignment="1" applyProtection="1">
      <alignment horizontal="center"/>
    </xf>
    <xf numFmtId="190" fontId="18" fillId="0" borderId="0" xfId="791" applyNumberFormat="1" applyFont="1" applyFill="1" applyBorder="1" applyAlignment="1" applyProtection="1">
      <alignment horizontal="center"/>
    </xf>
    <xf numFmtId="14" fontId="5" fillId="0" borderId="0" xfId="791" applyNumberFormat="1" applyFont="1" applyFill="1" applyBorder="1" applyAlignment="1" applyProtection="1">
      <alignment horizontal="center" wrapText="1"/>
    </xf>
    <xf numFmtId="0" fontId="5" fillId="0" borderId="0" xfId="791" applyFont="1" applyFill="1" applyBorder="1" applyAlignment="1" applyProtection="1">
      <alignment horizontal="center" wrapText="1"/>
    </xf>
    <xf numFmtId="173" fontId="5" fillId="27" borderId="0" xfId="0" applyNumberFormat="1" applyFont="1" applyFill="1" applyBorder="1" applyProtection="1"/>
    <xf numFmtId="0" fontId="5" fillId="27" borderId="0" xfId="198" quotePrefix="1" applyNumberFormat="1" applyFont="1" applyFill="1" applyBorder="1" applyAlignment="1" applyProtection="1">
      <alignment horizontal="center"/>
    </xf>
    <xf numFmtId="173" fontId="5" fillId="0" borderId="0" xfId="198" applyNumberFormat="1" applyFont="1" applyFill="1" applyProtection="1"/>
    <xf numFmtId="0" fontId="5" fillId="0" borderId="0" xfId="760" applyFont="1" applyFill="1" applyProtection="1"/>
    <xf numFmtId="3" fontId="5" fillId="0" borderId="0" xfId="0" applyNumberFormat="1" applyFont="1" applyFill="1" applyProtection="1"/>
    <xf numFmtId="0" fontId="5" fillId="0" borderId="2" xfId="791" applyFont="1" applyFill="1" applyBorder="1" applyProtection="1"/>
    <xf numFmtId="173" fontId="5" fillId="0" borderId="2" xfId="791" applyNumberFormat="1" applyFont="1" applyFill="1" applyBorder="1" applyProtection="1"/>
    <xf numFmtId="0" fontId="18" fillId="0" borderId="11" xfId="0" applyFont="1" applyFill="1" applyBorder="1" applyAlignment="1" applyProtection="1">
      <alignment horizontal="center"/>
    </xf>
    <xf numFmtId="1" fontId="5" fillId="0" borderId="0" xfId="0" applyNumberFormat="1" applyFont="1" applyFill="1" applyAlignment="1" applyProtection="1">
      <alignment horizontal="center"/>
    </xf>
    <xf numFmtId="43" fontId="5" fillId="0" borderId="0" xfId="202" applyFont="1" applyFill="1" applyBorder="1" applyProtection="1"/>
    <xf numFmtId="43" fontId="78" fillId="0" borderId="0" xfId="202" applyFont="1" applyFill="1" applyBorder="1" applyProtection="1"/>
    <xf numFmtId="43" fontId="8" fillId="0" borderId="0" xfId="202" applyFont="1" applyFill="1" applyBorder="1" applyProtection="1"/>
    <xf numFmtId="43" fontId="10" fillId="0" borderId="0" xfId="202" applyFont="1" applyFill="1" applyBorder="1" applyProtection="1"/>
    <xf numFmtId="1" fontId="5" fillId="0" borderId="0" xfId="791" applyNumberFormat="1" applyFont="1" applyFill="1" applyBorder="1" applyAlignment="1" applyProtection="1">
      <alignment horizontal="center"/>
    </xf>
    <xf numFmtId="43" fontId="5" fillId="27" borderId="0" xfId="202" applyFont="1" applyFill="1" applyBorder="1" applyProtection="1"/>
    <xf numFmtId="43" fontId="78" fillId="27" borderId="0" xfId="202" applyFont="1" applyFill="1" applyBorder="1" applyProtection="1"/>
    <xf numFmtId="43" fontId="5" fillId="27" borderId="0" xfId="202" applyFont="1" applyFill="1" applyBorder="1" applyAlignment="1" applyProtection="1">
      <alignment horizontal="center"/>
    </xf>
    <xf numFmtId="0" fontId="5" fillId="27" borderId="0" xfId="202" applyNumberFormat="1" applyFont="1" applyFill="1" applyBorder="1" applyAlignment="1" applyProtection="1">
      <alignment horizontal="center"/>
    </xf>
    <xf numFmtId="173" fontId="5" fillId="27" borderId="0" xfId="202" applyNumberFormat="1" applyFont="1" applyFill="1" applyBorder="1" applyProtection="1"/>
    <xf numFmtId="0" fontId="5" fillId="27" borderId="0" xfId="202" quotePrefix="1" applyNumberFormat="1" applyFont="1" applyFill="1" applyBorder="1" applyAlignment="1" applyProtection="1">
      <alignment horizontal="center"/>
    </xf>
    <xf numFmtId="43" fontId="5" fillId="0" borderId="2" xfId="202" applyFont="1" applyFill="1" applyBorder="1" applyProtection="1"/>
    <xf numFmtId="43" fontId="78" fillId="0" borderId="2" xfId="202" applyFont="1" applyFill="1" applyBorder="1" applyProtection="1"/>
    <xf numFmtId="0" fontId="5" fillId="0" borderId="2" xfId="202" applyNumberFormat="1" applyFont="1" applyFill="1" applyBorder="1" applyAlignment="1" applyProtection="1">
      <alignment horizontal="center"/>
    </xf>
    <xf numFmtId="173" fontId="5" fillId="0" borderId="2" xfId="202" applyNumberFormat="1" applyFont="1" applyFill="1" applyBorder="1" applyProtection="1"/>
    <xf numFmtId="0" fontId="5" fillId="0" borderId="0" xfId="202" applyNumberFormat="1" applyFont="1" applyFill="1" applyBorder="1" applyAlignment="1" applyProtection="1">
      <alignment horizontal="center"/>
    </xf>
    <xf numFmtId="173" fontId="5" fillId="0" borderId="0" xfId="202" applyNumberFormat="1" applyFont="1" applyFill="1" applyBorder="1" applyProtection="1"/>
    <xf numFmtId="0" fontId="195" fillId="0" borderId="0" xfId="791" applyFont="1" applyFill="1" applyBorder="1" applyProtection="1"/>
    <xf numFmtId="0" fontId="5" fillId="0" borderId="11" xfId="791" applyFont="1" applyFill="1" applyBorder="1" applyProtection="1"/>
    <xf numFmtId="0" fontId="5" fillId="0" borderId="11" xfId="791" applyFont="1" applyFill="1" applyBorder="1" applyAlignment="1" applyProtection="1">
      <alignment horizontal="center" wrapText="1"/>
    </xf>
    <xf numFmtId="190" fontId="18" fillId="0" borderId="11" xfId="791" applyNumberFormat="1" applyFont="1" applyFill="1" applyBorder="1" applyAlignment="1" applyProtection="1">
      <alignment horizontal="center" wrapText="1"/>
    </xf>
    <xf numFmtId="0" fontId="18" fillId="0" borderId="11" xfId="791" quotePrefix="1" applyFont="1" applyFill="1" applyBorder="1" applyAlignment="1" applyProtection="1">
      <alignment horizontal="center" wrapText="1"/>
    </xf>
    <xf numFmtId="14" fontId="5" fillId="27" borderId="0" xfId="202" applyNumberFormat="1" applyFont="1" applyFill="1" applyBorder="1" applyAlignment="1" applyProtection="1">
      <alignment horizontal="center"/>
    </xf>
    <xf numFmtId="1" fontId="5" fillId="27" borderId="0" xfId="198" applyNumberFormat="1" applyFont="1" applyFill="1" applyBorder="1" applyAlignment="1" applyProtection="1">
      <alignment horizontal="center"/>
    </xf>
    <xf numFmtId="173" fontId="5" fillId="27" borderId="0" xfId="198" applyNumberFormat="1" applyFont="1" applyFill="1" applyBorder="1" applyProtection="1"/>
    <xf numFmtId="173" fontId="5" fillId="0" borderId="0" xfId="198" applyNumberFormat="1" applyFont="1" applyFill="1" applyBorder="1" applyProtection="1"/>
    <xf numFmtId="173" fontId="5" fillId="27" borderId="0" xfId="202" applyNumberFormat="1" applyFont="1" applyFill="1" applyBorder="1" applyAlignment="1" applyProtection="1">
      <alignment horizontal="center"/>
    </xf>
    <xf numFmtId="181" fontId="5" fillId="27" borderId="0" xfId="202" applyNumberFormat="1" applyFont="1" applyFill="1" applyBorder="1" applyProtection="1"/>
    <xf numFmtId="181" fontId="5" fillId="27" borderId="0" xfId="202" applyNumberFormat="1" applyFont="1" applyFill="1" applyBorder="1" applyAlignment="1" applyProtection="1">
      <alignment horizontal="center"/>
    </xf>
    <xf numFmtId="173" fontId="5" fillId="0" borderId="2" xfId="198" applyNumberFormat="1" applyFont="1" applyFill="1" applyBorder="1" applyProtection="1"/>
    <xf numFmtId="3" fontId="55" fillId="0" borderId="0" xfId="760" applyNumberFormat="1" applyFont="1" applyFill="1" applyAlignment="1" applyProtection="1"/>
    <xf numFmtId="3" fontId="55" fillId="0" borderId="0" xfId="760" applyNumberFormat="1" applyFont="1" applyFill="1" applyAlignment="1" applyProtection="1">
      <alignment horizontal="center" vertical="top" wrapText="1"/>
    </xf>
    <xf numFmtId="3" fontId="55" fillId="0" borderId="0" xfId="760" applyNumberFormat="1" applyFont="1" applyFill="1" applyAlignment="1" applyProtection="1">
      <alignment wrapText="1"/>
    </xf>
    <xf numFmtId="3" fontId="55" fillId="0" borderId="0" xfId="760" applyNumberFormat="1" applyFont="1" applyFill="1" applyAlignment="1" applyProtection="1">
      <alignment horizontal="left" vertical="top" wrapText="1"/>
    </xf>
    <xf numFmtId="3" fontId="55" fillId="0" borderId="0" xfId="760" applyNumberFormat="1" applyFont="1" applyFill="1" applyAlignment="1" applyProtection="1">
      <alignment horizontal="left" wrapText="1"/>
    </xf>
    <xf numFmtId="0" fontId="8" fillId="0" borderId="0" xfId="799" applyFont="1" applyAlignment="1" applyProtection="1"/>
    <xf numFmtId="0" fontId="5" fillId="0" borderId="0" xfId="799" applyFont="1" applyProtection="1"/>
    <xf numFmtId="0" fontId="8" fillId="0" borderId="0" xfId="799" applyFont="1" applyFill="1" applyAlignment="1" applyProtection="1">
      <alignment horizontal="center"/>
    </xf>
    <xf numFmtId="0" fontId="8" fillId="0" borderId="0" xfId="1172" applyFont="1" applyFill="1" applyBorder="1" applyAlignment="1" applyProtection="1">
      <alignment horizontal="center"/>
    </xf>
    <xf numFmtId="3" fontId="9" fillId="0" borderId="0" xfId="799" applyNumberFormat="1" applyFont="1" applyFill="1" applyAlignment="1" applyProtection="1">
      <alignment horizontal="center"/>
    </xf>
    <xf numFmtId="0" fontId="9" fillId="0" borderId="0" xfId="799" applyFont="1" applyAlignment="1" applyProtection="1">
      <alignment horizontal="center"/>
    </xf>
    <xf numFmtId="0" fontId="9" fillId="0" borderId="0" xfId="799" applyFont="1" applyAlignment="1" applyProtection="1"/>
    <xf numFmtId="0" fontId="8" fillId="0" borderId="0" xfId="799" applyFont="1" applyAlignment="1" applyProtection="1">
      <alignment horizontal="right"/>
    </xf>
    <xf numFmtId="0" fontId="8" fillId="0" borderId="0" xfId="799" applyFont="1" applyProtection="1"/>
    <xf numFmtId="0" fontId="15" fillId="0" borderId="0" xfId="799" applyFont="1" applyAlignment="1" applyProtection="1">
      <alignment horizontal="center" wrapText="1"/>
    </xf>
    <xf numFmtId="0" fontId="15" fillId="0" borderId="0" xfId="799" applyFont="1" applyAlignment="1" applyProtection="1">
      <alignment horizontal="center"/>
    </xf>
    <xf numFmtId="0" fontId="8" fillId="0" borderId="0" xfId="799" applyFont="1" applyAlignment="1" applyProtection="1">
      <alignment horizontal="center"/>
    </xf>
    <xf numFmtId="10" fontId="8" fillId="0" borderId="0" xfId="799" applyNumberFormat="1" applyFont="1" applyAlignment="1" applyProtection="1">
      <alignment horizontal="center"/>
    </xf>
    <xf numFmtId="198" fontId="8" fillId="0" borderId="0" xfId="799" applyNumberFormat="1" applyFont="1" applyAlignment="1" applyProtection="1">
      <alignment horizontal="center"/>
    </xf>
    <xf numFmtId="10" fontId="8" fillId="0" borderId="0" xfId="799" applyNumberFormat="1" applyFont="1" applyProtection="1"/>
    <xf numFmtId="2" fontId="8" fillId="0" borderId="0" xfId="799" applyNumberFormat="1" applyFont="1" applyAlignment="1" applyProtection="1">
      <alignment horizontal="center"/>
    </xf>
    <xf numFmtId="0" fontId="8" fillId="28" borderId="0" xfId="198" applyNumberFormat="1" applyFont="1" applyFill="1" applyAlignment="1" applyProtection="1"/>
    <xf numFmtId="179" fontId="9" fillId="0" borderId="0" xfId="198" applyNumberFormat="1" applyFont="1" applyFill="1" applyAlignment="1" applyProtection="1"/>
    <xf numFmtId="41" fontId="8" fillId="0" borderId="0" xfId="1176" applyNumberFormat="1" applyFont="1" applyFill="1" applyProtection="1"/>
    <xf numFmtId="0" fontId="158" fillId="0" borderId="0" xfId="1528" applyNumberFormat="1" applyFont="1" applyAlignment="1" applyProtection="1"/>
    <xf numFmtId="0" fontId="5" fillId="0" borderId="0" xfId="1528" applyFont="1" applyAlignment="1" applyProtection="1"/>
    <xf numFmtId="0" fontId="8" fillId="0" borderId="0" xfId="1409" applyFont="1" applyFill="1" applyBorder="1" applyAlignment="1" applyProtection="1"/>
    <xf numFmtId="0" fontId="5" fillId="0" borderId="0" xfId="1528" applyNumberFormat="1" applyFont="1" applyAlignment="1" applyProtection="1">
      <alignment horizontal="center"/>
    </xf>
    <xf numFmtId="0" fontId="5" fillId="0" borderId="0" xfId="1528" applyFont="1" applyAlignment="1" applyProtection="1">
      <alignment horizontal="right"/>
    </xf>
    <xf numFmtId="0" fontId="9" fillId="0" borderId="0" xfId="1409" applyFont="1" applyFill="1" applyBorder="1" applyAlignment="1" applyProtection="1"/>
    <xf numFmtId="0" fontId="5" fillId="0" borderId="0" xfId="1173" applyFont="1" applyFill="1" applyAlignment="1" applyProtection="1">
      <alignment horizontal="left"/>
    </xf>
    <xf numFmtId="0" fontId="10" fillId="0" borderId="0" xfId="1173" applyFont="1" applyAlignment="1" applyProtection="1">
      <alignment horizontal="center"/>
    </xf>
    <xf numFmtId="0" fontId="5" fillId="0" borderId="0" xfId="1528" applyFont="1" applyProtection="1"/>
    <xf numFmtId="0" fontId="5" fillId="0" borderId="53" xfId="1528" applyNumberFormat="1" applyFont="1" applyBorder="1" applyAlignment="1" applyProtection="1">
      <alignment horizontal="center" wrapText="1"/>
    </xf>
    <xf numFmtId="0" fontId="10" fillId="0" borderId="50" xfId="1173" applyFont="1" applyBorder="1" applyAlignment="1" applyProtection="1">
      <alignment horizontal="center" wrapText="1"/>
    </xf>
    <xf numFmtId="0" fontId="5" fillId="0" borderId="0" xfId="1528" applyFont="1" applyAlignment="1" applyProtection="1">
      <alignment wrapText="1"/>
    </xf>
    <xf numFmtId="0" fontId="5" fillId="0" borderId="51" xfId="1528" applyNumberFormat="1" applyFont="1" applyBorder="1" applyAlignment="1" applyProtection="1">
      <alignment horizontal="center"/>
    </xf>
    <xf numFmtId="0" fontId="160" fillId="0" borderId="0" xfId="1528" applyFont="1" applyAlignment="1" applyProtection="1"/>
    <xf numFmtId="3" fontId="21" fillId="0" borderId="49" xfId="1409" applyNumberFormat="1" applyFont="1" applyFill="1" applyBorder="1" applyAlignment="1" applyProtection="1">
      <alignment horizontal="center" wrapText="1"/>
    </xf>
    <xf numFmtId="3" fontId="21" fillId="0" borderId="11" xfId="1409" applyNumberFormat="1" applyFont="1" applyFill="1" applyBorder="1" applyAlignment="1" applyProtection="1">
      <alignment horizontal="center" wrapText="1"/>
    </xf>
    <xf numFmtId="3" fontId="21" fillId="0" borderId="48" xfId="1409" applyNumberFormat="1" applyFont="1" applyFill="1" applyBorder="1" applyAlignment="1" applyProtection="1">
      <alignment horizontal="center" wrapText="1"/>
    </xf>
    <xf numFmtId="0" fontId="5" fillId="0" borderId="49" xfId="1528" applyNumberFormat="1" applyFont="1" applyBorder="1" applyAlignment="1" applyProtection="1">
      <alignment horizontal="center"/>
    </xf>
    <xf numFmtId="0" fontId="5" fillId="0" borderId="66" xfId="1528" applyNumberFormat="1" applyFont="1" applyBorder="1" applyAlignment="1" applyProtection="1">
      <alignment horizontal="center"/>
    </xf>
    <xf numFmtId="3" fontId="21" fillId="0" borderId="0" xfId="1409" applyNumberFormat="1" applyFont="1" applyFill="1" applyBorder="1" applyAlignment="1" applyProtection="1">
      <alignment horizontal="center" wrapText="1"/>
    </xf>
    <xf numFmtId="0" fontId="5" fillId="0" borderId="0" xfId="1523" applyFont="1" applyProtection="1"/>
    <xf numFmtId="0" fontId="10" fillId="0" borderId="0" xfId="1173" applyFont="1" applyProtection="1"/>
    <xf numFmtId="0" fontId="5" fillId="0" borderId="0" xfId="1528" applyNumberFormat="1" applyFont="1" applyBorder="1" applyAlignment="1" applyProtection="1">
      <alignment horizontal="center" wrapText="1"/>
    </xf>
    <xf numFmtId="0" fontId="10" fillId="0" borderId="11" xfId="1173" applyFont="1" applyBorder="1" applyProtection="1"/>
    <xf numFmtId="0" fontId="10" fillId="0" borderId="11" xfId="1173" applyFont="1" applyBorder="1" applyAlignment="1" applyProtection="1">
      <alignment horizontal="center" wrapText="1"/>
    </xf>
    <xf numFmtId="0" fontId="10" fillId="0" borderId="2" xfId="1173" applyFont="1" applyBorder="1" applyAlignment="1" applyProtection="1">
      <alignment horizontal="center"/>
    </xf>
    <xf numFmtId="0" fontId="5" fillId="0" borderId="0" xfId="1528" applyAlignment="1" applyProtection="1">
      <alignment horizontal="center"/>
    </xf>
    <xf numFmtId="0" fontId="5" fillId="0" borderId="15" xfId="1528" applyFont="1" applyBorder="1" applyAlignment="1" applyProtection="1"/>
    <xf numFmtId="173" fontId="5" fillId="0" borderId="15" xfId="1528" applyNumberFormat="1" applyFont="1" applyBorder="1" applyAlignment="1" applyProtection="1"/>
    <xf numFmtId="0" fontId="160" fillId="0" borderId="0" xfId="1528" applyNumberFormat="1" applyFont="1" applyAlignment="1" applyProtection="1">
      <alignment horizontal="center"/>
    </xf>
    <xf numFmtId="0" fontId="14" fillId="0" borderId="0" xfId="1528" applyNumberFormat="1" applyFont="1" applyAlignment="1" applyProtection="1">
      <alignment horizontal="center"/>
    </xf>
    <xf numFmtId="0" fontId="5" fillId="0" borderId="0" xfId="1528" applyProtection="1"/>
    <xf numFmtId="0" fontId="5" fillId="0" borderId="48" xfId="1173" applyFont="1" applyBorder="1" applyAlignment="1" applyProtection="1">
      <alignment horizontal="left"/>
    </xf>
    <xf numFmtId="0" fontId="10" fillId="0" borderId="0" xfId="1173" applyFont="1" applyBorder="1" applyAlignment="1" applyProtection="1">
      <alignment wrapText="1"/>
    </xf>
    <xf numFmtId="10" fontId="16" fillId="0" borderId="0" xfId="1429" applyNumberFormat="1" applyFont="1" applyFill="1" applyAlignment="1" applyProtection="1">
      <alignment horizontal="center"/>
    </xf>
    <xf numFmtId="0" fontId="55" fillId="0" borderId="11" xfId="1409" applyFont="1" applyFill="1" applyBorder="1" applyProtection="1"/>
    <xf numFmtId="173" fontId="55" fillId="0" borderId="11" xfId="1201" applyNumberFormat="1" applyFont="1" applyFill="1" applyBorder="1" applyAlignment="1" applyProtection="1">
      <alignment horizontal="center"/>
    </xf>
    <xf numFmtId="0" fontId="55" fillId="0" borderId="0" xfId="1409" applyFont="1" applyAlignment="1" applyProtection="1">
      <alignment horizontal="center"/>
    </xf>
    <xf numFmtId="0" fontId="32" fillId="0" borderId="0" xfId="1409" applyFont="1" applyAlignment="1" applyProtection="1"/>
    <xf numFmtId="0" fontId="55" fillId="0" borderId="0" xfId="1409" applyFont="1" applyProtection="1"/>
    <xf numFmtId="0" fontId="5" fillId="0" borderId="0" xfId="878" applyFont="1" applyFill="1" applyAlignment="1" applyProtection="1">
      <alignment horizontal="center"/>
    </xf>
    <xf numFmtId="0" fontId="5" fillId="0" borderId="0" xfId="878" applyFont="1" applyFill="1" applyProtection="1"/>
    <xf numFmtId="38" fontId="5" fillId="0" borderId="0" xfId="0" quotePrefix="1" applyNumberFormat="1" applyFont="1" applyFill="1" applyBorder="1" applyAlignment="1" applyProtection="1">
      <alignment horizontal="center"/>
    </xf>
    <xf numFmtId="41" fontId="5" fillId="0" borderId="0" xfId="878" applyNumberFormat="1" applyFont="1" applyFill="1" applyBorder="1" applyProtection="1"/>
    <xf numFmtId="0" fontId="5" fillId="0" borderId="0" xfId="878" applyFont="1" applyFill="1" applyAlignment="1" applyProtection="1">
      <alignment horizontal="center" vertical="top"/>
    </xf>
    <xf numFmtId="41" fontId="5" fillId="0" borderId="11" xfId="878" applyNumberFormat="1" applyFont="1" applyFill="1" applyBorder="1" applyProtection="1"/>
    <xf numFmtId="41" fontId="5" fillId="0" borderId="11" xfId="878" applyNumberFormat="1" applyFont="1" applyFill="1" applyBorder="1" applyAlignment="1" applyProtection="1">
      <alignment vertical="top"/>
    </xf>
    <xf numFmtId="41" fontId="5" fillId="0" borderId="0" xfId="878" applyNumberFormat="1" applyFont="1" applyFill="1" applyProtection="1"/>
    <xf numFmtId="37" fontId="5" fillId="0" borderId="0" xfId="878" applyNumberFormat="1" applyFont="1" applyFill="1" applyProtection="1"/>
    <xf numFmtId="37" fontId="5" fillId="0" borderId="0" xfId="0" applyNumberFormat="1" applyFont="1" applyFill="1" applyProtection="1"/>
    <xf numFmtId="38" fontId="5" fillId="0" borderId="0" xfId="0" applyNumberFormat="1" applyFont="1" applyFill="1" applyProtection="1"/>
    <xf numFmtId="0" fontId="84" fillId="0" borderId="0" xfId="878" applyFont="1" applyFill="1" applyAlignment="1" applyProtection="1">
      <alignment horizontal="center"/>
    </xf>
    <xf numFmtId="0" fontId="10" fillId="0" borderId="0" xfId="1176" quotePrefix="1" applyFont="1" applyFill="1" applyBorder="1" applyProtection="1"/>
    <xf numFmtId="41" fontId="84" fillId="0" borderId="0" xfId="878" applyNumberFormat="1" applyFont="1" applyFill="1" applyProtection="1"/>
    <xf numFmtId="37" fontId="5" fillId="0" borderId="14" xfId="0" applyNumberFormat="1" applyFont="1" applyFill="1" applyBorder="1" applyProtection="1"/>
    <xf numFmtId="37" fontId="5" fillId="0" borderId="0" xfId="878" applyNumberFormat="1" applyFont="1" applyFill="1" applyAlignment="1" applyProtection="1">
      <alignment vertical="center"/>
    </xf>
    <xf numFmtId="37" fontId="5" fillId="0" borderId="0" xfId="878" applyNumberFormat="1" applyFont="1" applyFill="1" applyBorder="1" applyProtection="1"/>
    <xf numFmtId="185" fontId="5" fillId="0" borderId="0" xfId="0" quotePrefix="1" applyNumberFormat="1" applyFont="1" applyFill="1" applyBorder="1" applyAlignment="1" applyProtection="1">
      <alignment horizontal="center"/>
    </xf>
    <xf numFmtId="0" fontId="5" fillId="0" borderId="0" xfId="878" applyFont="1" applyFill="1" applyAlignment="1" applyProtection="1"/>
    <xf numFmtId="185" fontId="5" fillId="0" borderId="0" xfId="0" applyNumberFormat="1" applyFont="1" applyFill="1" applyBorder="1" applyAlignment="1" applyProtection="1">
      <alignment horizontal="center"/>
    </xf>
    <xf numFmtId="38" fontId="5" fillId="0" borderId="0" xfId="0" applyNumberFormat="1" applyFont="1" applyFill="1" applyBorder="1" applyAlignment="1" applyProtection="1">
      <alignment horizontal="left"/>
    </xf>
    <xf numFmtId="43" fontId="5" fillId="27" borderId="0" xfId="198" applyFont="1" applyFill="1" applyBorder="1" applyProtection="1"/>
    <xf numFmtId="43" fontId="5" fillId="0" borderId="0" xfId="198" applyFont="1" applyFill="1" applyProtection="1"/>
    <xf numFmtId="43" fontId="5" fillId="0" borderId="0" xfId="1201" applyFont="1" applyFill="1" applyBorder="1" applyAlignment="1" applyProtection="1">
      <alignment horizontal="left"/>
    </xf>
    <xf numFmtId="173" fontId="85" fillId="27" borderId="0" xfId="1201" applyNumberFormat="1" applyFont="1" applyFill="1" applyBorder="1" applyProtection="1"/>
    <xf numFmtId="43" fontId="85" fillId="27" borderId="0" xfId="1201" applyFont="1" applyFill="1" applyBorder="1" applyAlignment="1" applyProtection="1">
      <alignment horizontal="center"/>
    </xf>
    <xf numFmtId="37" fontId="5" fillId="0" borderId="0" xfId="1201" applyNumberFormat="1" applyFont="1" applyFill="1" applyProtection="1"/>
    <xf numFmtId="43" fontId="5" fillId="0" borderId="0" xfId="1529" applyBorder="1" applyAlignment="1" applyProtection="1">
      <alignment horizontal="left"/>
    </xf>
    <xf numFmtId="43" fontId="85" fillId="27" borderId="0" xfId="1201" applyFont="1" applyFill="1" applyBorder="1" applyAlignment="1" applyProtection="1">
      <alignment horizontal="left"/>
    </xf>
    <xf numFmtId="43" fontId="85" fillId="27" borderId="0" xfId="198" applyFont="1" applyFill="1" applyBorder="1" applyAlignment="1" applyProtection="1">
      <alignment horizontal="left"/>
    </xf>
    <xf numFmtId="43" fontId="5" fillId="0" borderId="0" xfId="198" applyFont="1" applyFill="1" applyBorder="1" applyAlignment="1" applyProtection="1">
      <alignment horizontal="left"/>
    </xf>
    <xf numFmtId="0" fontId="5" fillId="0" borderId="0" xfId="0" quotePrefix="1" applyFont="1" applyFill="1" applyBorder="1" applyAlignment="1" applyProtection="1">
      <alignment horizontal="left" wrapText="1"/>
    </xf>
    <xf numFmtId="37" fontId="5" fillId="0" borderId="0" xfId="0" applyNumberFormat="1" applyFont="1" applyFill="1" applyAlignment="1" applyProtection="1">
      <alignment horizontal="left"/>
    </xf>
    <xf numFmtId="37" fontId="5" fillId="0" borderId="0" xfId="198" applyNumberFormat="1" applyFont="1" applyFill="1" applyProtection="1"/>
    <xf numFmtId="43" fontId="5" fillId="0" borderId="0" xfId="1530" applyFill="1" applyBorder="1" applyAlignment="1" applyProtection="1">
      <alignment horizontal="left"/>
    </xf>
    <xf numFmtId="0" fontId="0" fillId="0" borderId="0" xfId="0" applyBorder="1" applyAlignment="1" applyProtection="1">
      <alignment horizontal="left"/>
    </xf>
    <xf numFmtId="173" fontId="5" fillId="0" borderId="0" xfId="0" applyNumberFormat="1" applyFont="1" applyFill="1" applyProtection="1"/>
    <xf numFmtId="200" fontId="5" fillId="0" borderId="0" xfId="198" applyNumberFormat="1" applyFont="1" applyFill="1" applyProtection="1"/>
    <xf numFmtId="43" fontId="5" fillId="0" borderId="0" xfId="1531" applyFill="1" applyBorder="1" applyAlignment="1" applyProtection="1">
      <alignment horizontal="left"/>
    </xf>
    <xf numFmtId="1" fontId="5" fillId="0" borderId="0" xfId="0" applyNumberFormat="1" applyFont="1" applyFill="1" applyAlignment="1" applyProtection="1">
      <alignment horizontal="left"/>
    </xf>
    <xf numFmtId="173" fontId="85" fillId="0" borderId="0" xfId="1201" applyNumberFormat="1" applyFont="1" applyFill="1" applyBorder="1" applyProtection="1"/>
    <xf numFmtId="43" fontId="5" fillId="0" borderId="0" xfId="198" applyFont="1" applyFill="1" applyBorder="1" applyProtection="1"/>
    <xf numFmtId="0" fontId="157" fillId="27" borderId="0" xfId="0" applyFont="1" applyFill="1" applyBorder="1" applyProtection="1"/>
    <xf numFmtId="43" fontId="157" fillId="0" borderId="0" xfId="1529" applyFont="1" applyBorder="1" applyProtection="1"/>
    <xf numFmtId="0" fontId="157" fillId="27" borderId="0" xfId="0" applyFont="1" applyFill="1" applyAlignment="1" applyProtection="1">
      <alignment horizontal="left"/>
    </xf>
    <xf numFmtId="0" fontId="157" fillId="0" borderId="0" xfId="0" applyFont="1" applyFill="1" applyProtection="1"/>
    <xf numFmtId="37" fontId="157" fillId="27" borderId="0" xfId="0" applyNumberFormat="1" applyFont="1" applyFill="1" applyAlignment="1" applyProtection="1">
      <alignment horizontal="center"/>
    </xf>
    <xf numFmtId="37" fontId="157" fillId="0" borderId="0" xfId="1201" applyNumberFormat="1" applyFont="1" applyFill="1" applyProtection="1"/>
    <xf numFmtId="37" fontId="157" fillId="0" borderId="0" xfId="0" applyNumberFormat="1" applyFont="1" applyFill="1" applyProtection="1"/>
    <xf numFmtId="0" fontId="5" fillId="0" borderId="0" xfId="0" applyFont="1" applyFill="1" applyAlignment="1" applyProtection="1">
      <alignment horizontal="left"/>
    </xf>
    <xf numFmtId="37" fontId="5" fillId="0" borderId="0" xfId="0" applyNumberFormat="1" applyFont="1" applyFill="1" applyAlignment="1" applyProtection="1">
      <alignment horizontal="center"/>
    </xf>
    <xf numFmtId="37" fontId="5" fillId="0" borderId="0" xfId="1183" applyNumberFormat="1" applyFill="1" applyProtection="1"/>
    <xf numFmtId="37" fontId="5" fillId="0" borderId="0" xfId="1183" applyNumberFormat="1" applyFill="1" applyBorder="1" applyProtection="1"/>
    <xf numFmtId="0" fontId="118" fillId="0" borderId="0" xfId="0" applyFont="1" applyFill="1" applyAlignment="1" applyProtection="1">
      <alignment horizontal="left"/>
    </xf>
    <xf numFmtId="0" fontId="10" fillId="0" borderId="0" xfId="0" applyFont="1" applyFill="1" applyAlignment="1" applyProtection="1">
      <alignment horizontal="left"/>
    </xf>
    <xf numFmtId="0" fontId="5" fillId="0" borderId="0" xfId="0" quotePrefix="1" applyFont="1" applyFill="1" applyBorder="1" applyAlignment="1" applyProtection="1">
      <alignment horizontal="left"/>
    </xf>
    <xf numFmtId="43" fontId="5" fillId="0" borderId="0" xfId="1531" applyFill="1" applyBorder="1" applyProtection="1"/>
    <xf numFmtId="37" fontId="5" fillId="0" borderId="0" xfId="198" applyNumberFormat="1" applyFont="1" applyFill="1" applyBorder="1" applyProtection="1"/>
    <xf numFmtId="0" fontId="19" fillId="0" borderId="0" xfId="1409" applyFont="1" applyFill="1" applyBorder="1" applyAlignment="1" applyProtection="1"/>
    <xf numFmtId="3" fontId="5" fillId="0" borderId="0" xfId="1532" applyFont="1" applyFill="1" applyBorder="1" applyProtection="1"/>
    <xf numFmtId="3" fontId="5" fillId="0" borderId="0" xfId="1532" applyFont="1" applyFill="1" applyBorder="1" applyAlignment="1" applyProtection="1">
      <alignment wrapText="1"/>
    </xf>
    <xf numFmtId="3" fontId="5" fillId="0" borderId="0" xfId="1532" applyFont="1" applyFill="1" applyBorder="1" applyAlignment="1" applyProtection="1">
      <alignment horizontal="left" wrapText="1"/>
    </xf>
    <xf numFmtId="3" fontId="14" fillId="0" borderId="0" xfId="1532" applyFont="1" applyFill="1" applyBorder="1" applyAlignment="1" applyProtection="1">
      <alignment horizontal="left"/>
    </xf>
    <xf numFmtId="3" fontId="5" fillId="0" borderId="0" xfId="1532" applyFont="1" applyFill="1" applyBorder="1" applyAlignment="1" applyProtection="1">
      <alignment horizontal="center"/>
    </xf>
    <xf numFmtId="3" fontId="5" fillId="0" borderId="0" xfId="1532" applyFont="1" applyFill="1" applyBorder="1" applyAlignment="1" applyProtection="1">
      <alignment horizontal="left"/>
    </xf>
    <xf numFmtId="3" fontId="5" fillId="0" borderId="2" xfId="1532" applyFont="1" applyFill="1" applyBorder="1" applyAlignment="1" applyProtection="1">
      <alignment horizontal="right" wrapText="1"/>
    </xf>
    <xf numFmtId="3" fontId="5" fillId="0" borderId="0" xfId="1532" applyFont="1" applyFill="1" applyBorder="1" applyAlignment="1" applyProtection="1">
      <alignment horizontal="right" wrapText="1"/>
    </xf>
    <xf numFmtId="3" fontId="124" fillId="0" borderId="0" xfId="1532" applyFont="1" applyFill="1" applyBorder="1" applyAlignment="1" applyProtection="1">
      <alignment horizontal="center" vertical="top" wrapText="1"/>
    </xf>
    <xf numFmtId="3" fontId="125" fillId="0" borderId="0" xfId="1532" applyFont="1" applyFill="1" applyBorder="1" applyAlignment="1" applyProtection="1">
      <alignment horizontal="center" wrapText="1"/>
    </xf>
    <xf numFmtId="3" fontId="5" fillId="0" borderId="11" xfId="1532" applyFont="1" applyFill="1" applyBorder="1" applyAlignment="1" applyProtection="1">
      <alignment horizontal="center" wrapText="1"/>
    </xf>
    <xf numFmtId="3" fontId="5" fillId="0" borderId="0" xfId="1532" applyFont="1" applyFill="1" applyBorder="1" applyAlignment="1" applyProtection="1">
      <alignment horizontal="center" wrapText="1"/>
    </xf>
    <xf numFmtId="10" fontId="72" fillId="0" borderId="0" xfId="999" applyNumberFormat="1" applyFont="1" applyFill="1" applyBorder="1" applyAlignment="1" applyProtection="1">
      <alignment wrapText="1"/>
    </xf>
    <xf numFmtId="173" fontId="5" fillId="0" borderId="0" xfId="198" applyNumberFormat="1" applyFont="1" applyFill="1" applyBorder="1" applyAlignment="1" applyProtection="1">
      <alignment wrapText="1"/>
    </xf>
    <xf numFmtId="3" fontId="5" fillId="0" borderId="0" xfId="1532" applyFont="1" applyFill="1" applyBorder="1" applyAlignment="1" applyProtection="1">
      <alignment vertical="top"/>
    </xf>
    <xf numFmtId="3" fontId="5" fillId="0" borderId="15" xfId="1532" applyFont="1" applyFill="1" applyBorder="1" applyAlignment="1" applyProtection="1">
      <alignment vertical="top"/>
    </xf>
    <xf numFmtId="174" fontId="72" fillId="0" borderId="15" xfId="603" applyNumberFormat="1" applyFont="1" applyFill="1" applyBorder="1" applyAlignment="1" applyProtection="1">
      <alignment wrapText="1"/>
    </xf>
    <xf numFmtId="0" fontId="158" fillId="0" borderId="0" xfId="1409" applyFont="1" applyFill="1" applyBorder="1" applyAlignment="1" applyProtection="1"/>
    <xf numFmtId="0" fontId="5" fillId="0" borderId="0" xfId="1409" applyFont="1" applyFill="1" applyBorder="1" applyProtection="1"/>
    <xf numFmtId="0" fontId="55" fillId="0" borderId="0" xfId="1409" applyFont="1" applyFill="1" applyBorder="1" applyProtection="1"/>
    <xf numFmtId="0" fontId="8" fillId="0" borderId="0" xfId="1409" applyFont="1" applyFill="1" applyBorder="1" applyAlignment="1" applyProtection="1">
      <alignment horizontal="center"/>
    </xf>
    <xf numFmtId="0" fontId="5" fillId="0" borderId="0" xfId="1409" applyFont="1" applyFill="1" applyBorder="1" applyAlignment="1" applyProtection="1"/>
    <xf numFmtId="0" fontId="10" fillId="0" borderId="0" xfId="1409" applyFont="1" applyFill="1" applyBorder="1" applyAlignment="1" applyProtection="1">
      <alignment horizontal="center"/>
    </xf>
    <xf numFmtId="0" fontId="10" fillId="0" borderId="0" xfId="1409" applyFont="1" applyFill="1" applyBorder="1" applyAlignment="1" applyProtection="1">
      <alignment horizontal="left"/>
    </xf>
    <xf numFmtId="0" fontId="10" fillId="0" borderId="0" xfId="1409" applyNumberFormat="1" applyFont="1" applyFill="1" applyBorder="1" applyAlignment="1" applyProtection="1">
      <alignment horizontal="left"/>
    </xf>
    <xf numFmtId="0" fontId="10" fillId="0" borderId="0" xfId="1409" applyFont="1" applyFill="1" applyBorder="1" applyAlignment="1" applyProtection="1"/>
    <xf numFmtId="3" fontId="14" fillId="0" borderId="0" xfId="1409" applyNumberFormat="1" applyFont="1" applyFill="1" applyBorder="1" applyAlignment="1" applyProtection="1">
      <alignment horizontal="center"/>
    </xf>
    <xf numFmtId="0" fontId="10" fillId="0" borderId="0" xfId="1409" applyNumberFormat="1" applyFont="1" applyFill="1" applyBorder="1" applyAlignment="1" applyProtection="1">
      <alignment horizontal="center"/>
    </xf>
    <xf numFmtId="0" fontId="5" fillId="0" borderId="0" xfId="1409" applyFont="1" applyFill="1" applyBorder="1" applyAlignment="1" applyProtection="1">
      <alignment horizontal="center" wrapText="1"/>
    </xf>
    <xf numFmtId="0" fontId="5" fillId="0" borderId="0" xfId="1409" applyNumberFormat="1" applyFont="1" applyFill="1" applyBorder="1" applyAlignment="1" applyProtection="1">
      <alignment horizontal="center"/>
    </xf>
    <xf numFmtId="0" fontId="18" fillId="0" borderId="0" xfId="1409" applyFont="1" applyFill="1" applyBorder="1" applyAlignment="1" applyProtection="1">
      <alignment horizontal="center"/>
    </xf>
    <xf numFmtId="173" fontId="14" fillId="0" borderId="0" xfId="1201" applyNumberFormat="1" applyFont="1" applyFill="1" applyBorder="1" applyAlignment="1" applyProtection="1">
      <alignment horizontal="right"/>
    </xf>
    <xf numFmtId="173" fontId="5" fillId="0" borderId="0" xfId="1201" applyNumberFormat="1" applyFont="1" applyFill="1" applyBorder="1" applyAlignment="1" applyProtection="1">
      <alignment horizontal="left"/>
    </xf>
    <xf numFmtId="0" fontId="18" fillId="0" borderId="0" xfId="1409" applyFont="1" applyFill="1" applyBorder="1" applyAlignment="1" applyProtection="1">
      <alignment horizontal="center" wrapText="1"/>
    </xf>
    <xf numFmtId="0" fontId="5" fillId="0" borderId="14" xfId="1409" applyFont="1" applyFill="1" applyBorder="1" applyAlignment="1" applyProtection="1">
      <alignment horizontal="center" wrapText="1"/>
    </xf>
    <xf numFmtId="173" fontId="5" fillId="0" borderId="0" xfId="1201" applyNumberFormat="1" applyFont="1" applyFill="1" applyBorder="1" applyAlignment="1" applyProtection="1">
      <alignment horizontal="right"/>
    </xf>
    <xf numFmtId="173" fontId="5" fillId="0" borderId="0" xfId="198" applyNumberFormat="1" applyFont="1" applyFill="1" applyBorder="1" applyAlignment="1" applyProtection="1">
      <alignment horizontal="center" wrapText="1"/>
    </xf>
    <xf numFmtId="3" fontId="5" fillId="0" borderId="0" xfId="1409" applyNumberFormat="1" applyFont="1" applyFill="1" applyBorder="1" applyAlignment="1" applyProtection="1"/>
    <xf numFmtId="37" fontId="5" fillId="0" borderId="0" xfId="1183" applyNumberFormat="1" applyProtection="1"/>
    <xf numFmtId="173" fontId="5" fillId="0" borderId="0" xfId="198" applyNumberFormat="1" applyFont="1" applyFill="1" applyBorder="1" applyAlignment="1" applyProtection="1"/>
    <xf numFmtId="0" fontId="5" fillId="0" borderId="0" xfId="878" applyFont="1" applyFill="1" applyAlignment="1" applyProtection="1">
      <alignment horizontal="left"/>
    </xf>
    <xf numFmtId="0" fontId="5" fillId="0" borderId="0" xfId="1409" applyFont="1" applyFill="1" applyBorder="1" applyAlignment="1" applyProtection="1">
      <alignment horizontal="left"/>
    </xf>
    <xf numFmtId="37" fontId="5" fillId="0" borderId="0" xfId="1409" applyNumberFormat="1" applyFont="1" applyBorder="1" applyProtection="1"/>
    <xf numFmtId="37" fontId="85" fillId="27" borderId="0" xfId="1201" applyNumberFormat="1" applyFont="1" applyFill="1" applyProtection="1"/>
    <xf numFmtId="37" fontId="5" fillId="0" borderId="0" xfId="1183" applyNumberFormat="1" applyFont="1" applyFill="1" applyProtection="1"/>
    <xf numFmtId="37" fontId="5" fillId="0" borderId="0" xfId="1409" applyNumberFormat="1" applyFont="1" applyFill="1" applyBorder="1" applyProtection="1"/>
    <xf numFmtId="37" fontId="85" fillId="0" borderId="0" xfId="1201" applyNumberFormat="1" applyFont="1" applyFill="1" applyProtection="1"/>
    <xf numFmtId="0" fontId="5" fillId="0" borderId="0" xfId="1409" applyFont="1" applyBorder="1" applyProtection="1"/>
    <xf numFmtId="37" fontId="157" fillId="0" borderId="0" xfId="1409" applyNumberFormat="1" applyFont="1" applyBorder="1" applyProtection="1"/>
    <xf numFmtId="37" fontId="157" fillId="0" borderId="0" xfId="1183" applyNumberFormat="1" applyFont="1" applyFill="1" applyProtection="1"/>
    <xf numFmtId="37" fontId="157" fillId="0" borderId="0" xfId="1409" applyNumberFormat="1" applyFont="1" applyFill="1" applyBorder="1" applyProtection="1"/>
    <xf numFmtId="173" fontId="84" fillId="0" borderId="0" xfId="1201" applyNumberFormat="1" applyFont="1" applyFill="1" applyProtection="1"/>
    <xf numFmtId="37" fontId="84" fillId="0" borderId="0" xfId="1201" applyNumberFormat="1" applyFont="1" applyFill="1" applyProtection="1"/>
    <xf numFmtId="37" fontId="84" fillId="0" borderId="0" xfId="1409" applyNumberFormat="1" applyFont="1" applyFill="1" applyBorder="1" applyProtection="1"/>
    <xf numFmtId="38" fontId="5" fillId="0" borderId="17" xfId="0" applyNumberFormat="1" applyFont="1" applyFill="1" applyBorder="1" applyProtection="1"/>
    <xf numFmtId="37" fontId="5" fillId="0" borderId="17" xfId="0" applyNumberFormat="1" applyFont="1" applyFill="1" applyBorder="1" applyProtection="1"/>
    <xf numFmtId="173" fontId="5" fillId="0" borderId="17" xfId="198" applyNumberFormat="1" applyFont="1" applyFill="1" applyBorder="1" applyProtection="1"/>
    <xf numFmtId="38" fontId="5" fillId="0" borderId="0" xfId="0" quotePrefix="1" applyNumberFormat="1" applyFont="1" applyFill="1" applyBorder="1" applyAlignment="1" applyProtection="1">
      <alignment horizontal="right"/>
    </xf>
    <xf numFmtId="37" fontId="5" fillId="0" borderId="0" xfId="0" applyNumberFormat="1" applyFont="1" applyFill="1" applyBorder="1" applyProtection="1"/>
    <xf numFmtId="0" fontId="5" fillId="0" borderId="0" xfId="1409" applyNumberFormat="1" applyFont="1" applyFill="1" applyBorder="1" applyAlignment="1" applyProtection="1">
      <alignment horizontal="center" vertical="top"/>
    </xf>
    <xf numFmtId="0" fontId="5" fillId="0" borderId="0" xfId="1409" applyFont="1" applyFill="1" applyBorder="1" applyAlignment="1" applyProtection="1">
      <alignment horizontal="center"/>
    </xf>
    <xf numFmtId="0" fontId="5" fillId="0" borderId="0" xfId="0" quotePrefix="1" applyFont="1" applyFill="1" applyAlignment="1" applyProtection="1">
      <alignment horizontal="left"/>
    </xf>
    <xf numFmtId="173" fontId="5" fillId="0" borderId="11" xfId="0" applyNumberFormat="1" applyFont="1" applyFill="1" applyBorder="1" applyProtection="1"/>
    <xf numFmtId="173" fontId="5" fillId="0" borderId="14" xfId="0" applyNumberFormat="1" applyFont="1" applyFill="1" applyBorder="1" applyProtection="1"/>
    <xf numFmtId="174" fontId="5" fillId="0" borderId="0" xfId="198" applyNumberFormat="1" applyFont="1" applyFill="1" applyProtection="1"/>
    <xf numFmtId="174" fontId="5" fillId="0" borderId="0" xfId="0" applyNumberFormat="1" applyFont="1" applyFill="1" applyProtection="1"/>
    <xf numFmtId="0" fontId="18" fillId="0" borderId="0" xfId="1176" applyFont="1" applyAlignment="1" applyProtection="1">
      <alignment horizontal="center"/>
    </xf>
    <xf numFmtId="3" fontId="5" fillId="0" borderId="0" xfId="881" applyNumberFormat="1" applyFont="1" applyFill="1" applyAlignment="1" applyProtection="1"/>
    <xf numFmtId="10" fontId="5" fillId="0" borderId="0" xfId="881" applyNumberFormat="1" applyFont="1" applyFill="1" applyAlignment="1" applyProtection="1"/>
    <xf numFmtId="167" fontId="5" fillId="0" borderId="0" xfId="881" applyNumberFormat="1" applyFont="1" applyFill="1" applyAlignment="1" applyProtection="1"/>
    <xf numFmtId="43" fontId="5" fillId="0" borderId="0" xfId="198" applyFont="1" applyFill="1" applyAlignment="1" applyProtection="1"/>
    <xf numFmtId="172" fontId="5" fillId="0" borderId="0" xfId="881" applyFont="1" applyFill="1" applyBorder="1" applyAlignment="1" applyProtection="1"/>
    <xf numFmtId="0" fontId="5" fillId="0" borderId="18" xfId="0" quotePrefix="1" applyFont="1" applyFill="1" applyBorder="1" applyAlignment="1" applyProtection="1">
      <alignment horizontal="left"/>
    </xf>
    <xf numFmtId="0" fontId="5" fillId="0" borderId="21" xfId="0" applyFont="1" applyFill="1" applyBorder="1" applyProtection="1"/>
    <xf numFmtId="0" fontId="5" fillId="0" borderId="0" xfId="198" applyNumberFormat="1" applyFont="1" applyFill="1" applyAlignment="1" applyProtection="1"/>
    <xf numFmtId="0" fontId="85" fillId="0" borderId="32" xfId="0" quotePrefix="1" applyFont="1" applyFill="1" applyBorder="1" applyAlignment="1" applyProtection="1">
      <alignment horizontal="right"/>
    </xf>
    <xf numFmtId="0" fontId="5" fillId="0" borderId="20" xfId="0" applyFont="1" applyFill="1" applyBorder="1" applyProtection="1"/>
    <xf numFmtId="10" fontId="5" fillId="0" borderId="0" xfId="881" applyNumberFormat="1" applyFont="1" applyFill="1" applyAlignment="1" applyProtection="1">
      <alignment horizontal="right"/>
    </xf>
    <xf numFmtId="172" fontId="5" fillId="0" borderId="0" xfId="881" applyFont="1" applyFill="1" applyAlignment="1" applyProtection="1"/>
    <xf numFmtId="0" fontId="5" fillId="0" borderId="0" xfId="0" applyNumberFormat="1" applyFont="1" applyFill="1" applyAlignment="1" applyProtection="1">
      <alignment horizontal="center"/>
    </xf>
    <xf numFmtId="0" fontId="5" fillId="0" borderId="0" xfId="881" quotePrefix="1" applyNumberFormat="1" applyFont="1" applyFill="1" applyBorder="1" applyAlignment="1" applyProtection="1">
      <alignment horizontal="left"/>
    </xf>
    <xf numFmtId="173" fontId="85" fillId="0" borderId="32" xfId="198" applyNumberFormat="1" applyFont="1" applyFill="1" applyBorder="1" applyProtection="1"/>
    <xf numFmtId="175" fontId="85" fillId="0" borderId="32" xfId="899" applyNumberFormat="1" applyFont="1" applyFill="1" applyBorder="1" applyProtection="1"/>
    <xf numFmtId="0" fontId="5" fillId="0" borderId="22" xfId="0" applyFont="1" applyFill="1" applyBorder="1" applyProtection="1"/>
    <xf numFmtId="0" fontId="5" fillId="0" borderId="0" xfId="881" applyNumberFormat="1" applyFont="1" applyFill="1" applyBorder="1" applyAlignment="1" applyProtection="1">
      <alignment horizontal="right"/>
    </xf>
    <xf numFmtId="10" fontId="5" fillId="0" borderId="0" xfId="0" applyNumberFormat="1" applyFont="1" applyFill="1" applyAlignment="1" applyProtection="1">
      <alignment horizontal="center"/>
    </xf>
    <xf numFmtId="10" fontId="5" fillId="0" borderId="0" xfId="899" applyNumberFormat="1" applyFont="1" applyFill="1" applyAlignment="1" applyProtection="1">
      <alignment horizontal="center"/>
    </xf>
    <xf numFmtId="10" fontId="5" fillId="0" borderId="0" xfId="899" applyNumberFormat="1" applyFont="1" applyFill="1" applyAlignment="1" applyProtection="1"/>
    <xf numFmtId="169" fontId="5" fillId="0" borderId="0" xfId="881" applyNumberFormat="1" applyFont="1" applyFill="1" applyAlignment="1" applyProtection="1"/>
    <xf numFmtId="0" fontId="5" fillId="0" borderId="19" xfId="0" applyFont="1" applyFill="1" applyBorder="1" applyAlignment="1" applyProtection="1">
      <alignment wrapText="1"/>
    </xf>
    <xf numFmtId="0" fontId="5" fillId="0" borderId="0" xfId="0" applyFont="1" applyFill="1" applyBorder="1" applyAlignment="1" applyProtection="1">
      <alignment wrapText="1"/>
    </xf>
    <xf numFmtId="0" fontId="5" fillId="0" borderId="20" xfId="0" applyFont="1" applyFill="1" applyBorder="1" applyAlignment="1" applyProtection="1">
      <alignment wrapText="1"/>
    </xf>
    <xf numFmtId="166" fontId="5" fillId="0" borderId="0" xfId="881" applyNumberFormat="1" applyFont="1" applyFill="1" applyBorder="1" applyAlignment="1" applyProtection="1">
      <alignment horizontal="center"/>
    </xf>
    <xf numFmtId="41" fontId="5" fillId="0" borderId="0" xfId="881" applyNumberFormat="1" applyFont="1" applyFill="1" applyAlignment="1" applyProtection="1"/>
    <xf numFmtId="172" fontId="5" fillId="0" borderId="19" xfId="881" applyFont="1" applyFill="1" applyBorder="1" applyAlignment="1" applyProtection="1"/>
    <xf numFmtId="3" fontId="5" fillId="0" borderId="20" xfId="881" applyNumberFormat="1" applyFont="1" applyFill="1" applyBorder="1" applyAlignment="1" applyProtection="1"/>
    <xf numFmtId="41" fontId="5" fillId="0" borderId="0" xfId="881" applyNumberFormat="1" applyFont="1" applyFill="1" applyBorder="1" applyAlignment="1" applyProtection="1">
      <alignment horizontal="center"/>
    </xf>
    <xf numFmtId="0" fontId="5" fillId="0" borderId="19" xfId="0" applyFont="1" applyFill="1" applyBorder="1" applyProtection="1"/>
    <xf numFmtId="3" fontId="5" fillId="0" borderId="0" xfId="881" applyNumberFormat="1" applyFont="1" applyFill="1" applyAlignment="1" applyProtection="1">
      <alignment horizontal="right"/>
    </xf>
    <xf numFmtId="178" fontId="5" fillId="0" borderId="0" xfId="881" applyNumberFormat="1" applyFont="1" applyFill="1" applyAlignment="1" applyProtection="1"/>
    <xf numFmtId="166" fontId="5" fillId="0" borderId="34" xfId="881" applyNumberFormat="1" applyFont="1" applyFill="1" applyBorder="1" applyAlignment="1" applyProtection="1">
      <alignment horizontal="left"/>
    </xf>
    <xf numFmtId="0" fontId="5" fillId="0" borderId="6" xfId="881" applyNumberFormat="1" applyFont="1" applyFill="1" applyBorder="1" applyAlignment="1" applyProtection="1">
      <alignment horizontal="center"/>
    </xf>
    <xf numFmtId="173" fontId="5" fillId="0" borderId="6" xfId="881" applyNumberFormat="1" applyFont="1" applyFill="1" applyBorder="1" applyAlignment="1" applyProtection="1">
      <alignment horizontal="center"/>
    </xf>
    <xf numFmtId="174" fontId="5" fillId="0" borderId="27" xfId="0" applyNumberFormat="1" applyFont="1" applyFill="1" applyBorder="1" applyProtection="1"/>
    <xf numFmtId="0" fontId="5" fillId="0" borderId="23" xfId="0" applyFont="1" applyFill="1" applyBorder="1" applyProtection="1"/>
    <xf numFmtId="10" fontId="5" fillId="0" borderId="0" xfId="881" applyNumberFormat="1" applyFont="1" applyFill="1" applyAlignment="1" applyProtection="1">
      <alignment horizontal="left"/>
    </xf>
    <xf numFmtId="41" fontId="5" fillId="0" borderId="0" xfId="881" applyNumberFormat="1" applyFont="1" applyFill="1" applyBorder="1" applyAlignment="1" applyProtection="1"/>
    <xf numFmtId="41" fontId="85" fillId="0" borderId="32" xfId="0" applyNumberFormat="1" applyFont="1" applyFill="1" applyBorder="1" applyProtection="1"/>
    <xf numFmtId="3" fontId="5" fillId="0" borderId="24" xfId="0" applyNumberFormat="1" applyFont="1" applyFill="1" applyBorder="1" applyProtection="1"/>
    <xf numFmtId="10" fontId="85" fillId="0" borderId="19" xfId="0" applyNumberFormat="1" applyFont="1" applyFill="1" applyBorder="1" applyProtection="1"/>
    <xf numFmtId="41" fontId="85" fillId="0" borderId="19" xfId="0" applyNumberFormat="1" applyFont="1" applyFill="1" applyBorder="1" applyProtection="1"/>
    <xf numFmtId="41" fontId="5" fillId="0" borderId="0" xfId="881" quotePrefix="1" applyNumberFormat="1" applyFont="1" applyFill="1" applyBorder="1" applyAlignment="1" applyProtection="1"/>
    <xf numFmtId="41" fontId="5" fillId="0" borderId="0" xfId="881" applyNumberFormat="1" applyFont="1" applyFill="1" applyBorder="1" applyAlignment="1" applyProtection="1">
      <alignment horizontal="right"/>
    </xf>
    <xf numFmtId="177" fontId="5" fillId="0" borderId="11" xfId="881" applyNumberFormat="1" applyFont="1" applyFill="1" applyBorder="1" applyAlignment="1" applyProtection="1"/>
    <xf numFmtId="164" fontId="5" fillId="0" borderId="0" xfId="881" applyNumberFormat="1" applyFont="1" applyFill="1" applyBorder="1" applyAlignment="1" applyProtection="1">
      <alignment horizontal="left"/>
    </xf>
    <xf numFmtId="41" fontId="5" fillId="0" borderId="0" xfId="881" applyNumberFormat="1" applyFont="1" applyFill="1" applyAlignment="1" applyProtection="1">
      <alignment horizontal="center"/>
    </xf>
    <xf numFmtId="3" fontId="5" fillId="0" borderId="0" xfId="881" applyNumberFormat="1" applyFont="1" applyFill="1" applyAlignment="1" applyProtection="1">
      <alignment vertical="center" wrapText="1"/>
    </xf>
    <xf numFmtId="41" fontId="5" fillId="0" borderId="0" xfId="881" applyNumberFormat="1" applyFont="1" applyFill="1" applyBorder="1" applyAlignment="1" applyProtection="1">
      <alignment vertical="center"/>
    </xf>
    <xf numFmtId="41" fontId="5" fillId="0" borderId="0" xfId="881" applyNumberFormat="1" applyFont="1" applyFill="1" applyBorder="1" applyAlignment="1" applyProtection="1">
      <alignment horizontal="center" vertical="center"/>
    </xf>
    <xf numFmtId="41" fontId="5" fillId="0" borderId="0" xfId="881" applyNumberFormat="1" applyFont="1" applyFill="1" applyAlignment="1" applyProtection="1">
      <alignment horizontal="right"/>
    </xf>
    <xf numFmtId="10" fontId="5" fillId="0" borderId="0" xfId="0" applyNumberFormat="1" applyFont="1" applyFill="1" applyBorder="1" applyProtection="1"/>
    <xf numFmtId="41" fontId="5" fillId="0" borderId="0" xfId="0" applyNumberFormat="1" applyFont="1" applyFill="1" applyProtection="1"/>
    <xf numFmtId="173" fontId="85" fillId="0" borderId="0" xfId="0" applyNumberFormat="1" applyFont="1" applyFill="1" applyBorder="1" applyProtection="1"/>
    <xf numFmtId="0" fontId="5" fillId="0" borderId="50" xfId="0" applyFont="1" applyFill="1" applyBorder="1" applyProtection="1"/>
    <xf numFmtId="0" fontId="5" fillId="0" borderId="0" xfId="0" applyFont="1" applyFill="1" applyBorder="1" applyAlignment="1" applyProtection="1"/>
    <xf numFmtId="0" fontId="5" fillId="0" borderId="48" xfId="0" applyFont="1" applyFill="1" applyBorder="1" applyProtection="1"/>
    <xf numFmtId="41" fontId="5" fillId="0" borderId="2" xfId="881" applyNumberFormat="1" applyFont="1" applyFill="1" applyBorder="1" applyAlignment="1" applyProtection="1"/>
    <xf numFmtId="3" fontId="5" fillId="0" borderId="0" xfId="881" applyNumberFormat="1" applyFont="1" applyFill="1" applyBorder="1" applyAlignment="1" applyProtection="1"/>
    <xf numFmtId="0" fontId="18" fillId="0" borderId="0" xfId="1208" quotePrefix="1" applyFont="1" applyAlignment="1" applyProtection="1">
      <alignment horizontal="left"/>
    </xf>
    <xf numFmtId="0" fontId="10" fillId="0" borderId="0" xfId="1208" applyFont="1" applyProtection="1"/>
    <xf numFmtId="0" fontId="5" fillId="0" borderId="0" xfId="881" applyNumberFormat="1" applyFont="1" applyFill="1" applyBorder="1" applyProtection="1"/>
    <xf numFmtId="0" fontId="10" fillId="0" borderId="0" xfId="1208" quotePrefix="1" applyFont="1" applyAlignment="1" applyProtection="1">
      <alignment horizontal="left"/>
    </xf>
    <xf numFmtId="0" fontId="5" fillId="0" borderId="0" xfId="1208" applyFont="1" applyProtection="1"/>
    <xf numFmtId="3" fontId="5" fillId="0" borderId="0" xfId="881" applyNumberFormat="1" applyFont="1" applyFill="1" applyBorder="1" applyAlignment="1" applyProtection="1">
      <alignment horizontal="center"/>
    </xf>
    <xf numFmtId="41" fontId="5" fillId="0" borderId="11" xfId="881" applyNumberFormat="1" applyFont="1" applyFill="1" applyBorder="1" applyAlignment="1" applyProtection="1"/>
    <xf numFmtId="10" fontId="5" fillId="0" borderId="0" xfId="881" applyNumberFormat="1" applyFont="1" applyFill="1" applyBorder="1" applyAlignment="1" applyProtection="1"/>
    <xf numFmtId="169" fontId="5" fillId="0" borderId="0" xfId="881" applyNumberFormat="1" applyFont="1" applyFill="1" applyBorder="1" applyAlignment="1" applyProtection="1"/>
    <xf numFmtId="0" fontId="5" fillId="0" borderId="0" xfId="0" applyFont="1" applyFill="1" applyBorder="1" applyAlignment="1" applyProtection="1">
      <alignment horizontal="center"/>
    </xf>
    <xf numFmtId="41" fontId="5" fillId="0" borderId="0" xfId="0" applyNumberFormat="1" applyFont="1" applyFill="1" applyBorder="1" applyProtection="1"/>
    <xf numFmtId="41" fontId="5" fillId="0" borderId="11" xfId="0" applyNumberFormat="1" applyFont="1" applyFill="1" applyBorder="1" applyProtection="1"/>
    <xf numFmtId="10" fontId="5" fillId="0" borderId="11" xfId="0" applyNumberFormat="1" applyFont="1" applyFill="1" applyBorder="1" applyProtection="1"/>
    <xf numFmtId="9" fontId="5" fillId="27" borderId="0" xfId="899" applyFont="1" applyFill="1" applyAlignment="1" applyProtection="1">
      <alignment horizontal="right"/>
    </xf>
    <xf numFmtId="9" fontId="5" fillId="0" borderId="0" xfId="899" applyFont="1" applyFill="1" applyBorder="1" applyProtection="1"/>
    <xf numFmtId="173" fontId="5" fillId="0" borderId="11" xfId="198" applyNumberFormat="1" applyFont="1" applyFill="1" applyBorder="1" applyAlignment="1" applyProtection="1"/>
    <xf numFmtId="164" fontId="5" fillId="0" borderId="0" xfId="899" applyNumberFormat="1" applyFont="1" applyFill="1" applyProtection="1"/>
    <xf numFmtId="43" fontId="5" fillId="0" borderId="0" xfId="198" applyNumberFormat="1" applyFont="1" applyFill="1" applyProtection="1"/>
    <xf numFmtId="0" fontId="5" fillId="0" borderId="0" xfId="0" applyFont="1" applyAlignment="1" applyProtection="1">
      <alignment horizontal="center"/>
    </xf>
    <xf numFmtId="10" fontId="5" fillId="0" borderId="0" xfId="0" applyNumberFormat="1" applyFont="1" applyProtection="1"/>
    <xf numFmtId="173" fontId="5" fillId="0" borderId="0" xfId="1201" applyNumberFormat="1" applyFont="1" applyProtection="1"/>
    <xf numFmtId="173" fontId="5" fillId="0" borderId="0" xfId="1201" applyNumberFormat="1" applyFont="1" applyBorder="1" applyProtection="1"/>
    <xf numFmtId="0" fontId="8" fillId="27" borderId="0" xfId="1201" applyNumberFormat="1" applyFont="1" applyFill="1" applyAlignment="1" applyProtection="1">
      <alignment horizontal="left"/>
    </xf>
    <xf numFmtId="0" fontId="5" fillId="0" borderId="17" xfId="0" applyFont="1" applyBorder="1" applyProtection="1"/>
    <xf numFmtId="173" fontId="10" fillId="0" borderId="21" xfId="1201" applyNumberFormat="1" applyFont="1" applyBorder="1" applyProtection="1"/>
    <xf numFmtId="0" fontId="8" fillId="0" borderId="0" xfId="1201" applyNumberFormat="1" applyFont="1" applyFill="1" applyAlignment="1" applyProtection="1">
      <alignment horizontal="left"/>
    </xf>
    <xf numFmtId="0" fontId="8" fillId="0" borderId="0" xfId="1201" applyNumberFormat="1" applyFont="1" applyFill="1" applyBorder="1" applyAlignment="1" applyProtection="1">
      <alignment horizontal="left"/>
    </xf>
    <xf numFmtId="0" fontId="9" fillId="0" borderId="0" xfId="1201" applyNumberFormat="1" applyFont="1" applyFill="1" applyBorder="1" applyAlignment="1" applyProtection="1">
      <alignment horizontal="left"/>
    </xf>
    <xf numFmtId="173" fontId="10" fillId="0" borderId="25" xfId="1201" applyNumberFormat="1" applyFont="1" applyBorder="1" applyProtection="1"/>
    <xf numFmtId="173" fontId="10" fillId="0" borderId="34" xfId="1201" applyNumberFormat="1" applyFont="1" applyBorder="1" applyProtection="1"/>
    <xf numFmtId="173" fontId="5" fillId="0" borderId="6" xfId="1201" applyNumberFormat="1" applyFont="1" applyBorder="1" applyProtection="1"/>
    <xf numFmtId="173" fontId="5" fillId="0" borderId="27" xfId="1201" applyNumberFormat="1" applyFont="1" applyBorder="1" applyProtection="1"/>
    <xf numFmtId="0" fontId="5" fillId="0" borderId="36" xfId="0" applyFont="1" applyFill="1" applyBorder="1" applyAlignment="1" applyProtection="1">
      <alignment horizontal="left"/>
    </xf>
    <xf numFmtId="0" fontId="5" fillId="0" borderId="0" xfId="0" applyFont="1" applyBorder="1" applyAlignment="1" applyProtection="1"/>
    <xf numFmtId="0" fontId="5" fillId="0" borderId="19" xfId="0" quotePrefix="1" applyFont="1" applyFill="1" applyBorder="1" applyAlignment="1" applyProtection="1">
      <alignment horizontal="left"/>
    </xf>
    <xf numFmtId="173" fontId="5" fillId="27" borderId="20" xfId="1201" applyNumberFormat="1" applyFont="1" applyFill="1" applyBorder="1" applyAlignment="1" applyProtection="1">
      <alignment horizontal="right"/>
    </xf>
    <xf numFmtId="0" fontId="5" fillId="0" borderId="0" xfId="0" applyFont="1" applyBorder="1" applyAlignment="1" applyProtection="1">
      <alignment horizontal="center"/>
    </xf>
    <xf numFmtId="0" fontId="5" fillId="27" borderId="20" xfId="0" applyFont="1" applyFill="1" applyBorder="1" applyAlignment="1" applyProtection="1">
      <alignment horizontal="right"/>
    </xf>
    <xf numFmtId="173" fontId="5" fillId="0" borderId="20" xfId="0" applyNumberFormat="1" applyFont="1" applyFill="1" applyBorder="1" applyAlignment="1" applyProtection="1">
      <alignment horizontal="right"/>
    </xf>
    <xf numFmtId="173" fontId="5" fillId="0" borderId="0" xfId="0" applyNumberFormat="1" applyFont="1" applyFill="1" applyBorder="1" applyAlignment="1" applyProtection="1">
      <alignment horizontal="right"/>
    </xf>
    <xf numFmtId="10" fontId="5" fillId="0" borderId="20" xfId="0" applyNumberFormat="1" applyFont="1" applyBorder="1" applyProtection="1"/>
    <xf numFmtId="10" fontId="5" fillId="0" borderId="0" xfId="0" applyNumberFormat="1" applyFont="1" applyBorder="1" applyProtection="1"/>
    <xf numFmtId="173" fontId="5" fillId="0" borderId="20" xfId="1201" applyNumberFormat="1" applyFont="1" applyBorder="1" applyProtection="1"/>
    <xf numFmtId="173" fontId="10" fillId="0" borderId="38" xfId="1201" applyNumberFormat="1" applyFont="1" applyBorder="1" applyAlignment="1" applyProtection="1">
      <alignment horizontal="center"/>
    </xf>
    <xf numFmtId="173" fontId="10" fillId="0" borderId="21" xfId="1201" quotePrefix="1" applyNumberFormat="1" applyFont="1" applyFill="1" applyBorder="1" applyAlignment="1" applyProtection="1">
      <alignment horizontal="center" wrapText="1"/>
    </xf>
    <xf numFmtId="173" fontId="10" fillId="0" borderId="21" xfId="1201" quotePrefix="1" applyNumberFormat="1" applyFont="1" applyBorder="1" applyAlignment="1" applyProtection="1">
      <alignment horizontal="center" wrapText="1"/>
    </xf>
    <xf numFmtId="173" fontId="10" fillId="0" borderId="38" xfId="1201" quotePrefix="1" applyNumberFormat="1" applyFont="1" applyBorder="1" applyAlignment="1" applyProtection="1">
      <alignment horizontal="center" wrapText="1"/>
    </xf>
    <xf numFmtId="173" fontId="10" fillId="0" borderId="38" xfId="1201" applyNumberFormat="1" applyFont="1" applyFill="1" applyBorder="1" applyAlignment="1" applyProtection="1">
      <alignment horizontal="center" wrapText="1"/>
    </xf>
    <xf numFmtId="173" fontId="10" fillId="0" borderId="38" xfId="1201" applyNumberFormat="1" applyFont="1" applyBorder="1" applyAlignment="1" applyProtection="1">
      <alignment horizontal="center" wrapText="1"/>
    </xf>
    <xf numFmtId="173" fontId="10" fillId="0" borderId="27" xfId="1201" applyNumberFormat="1" applyFont="1" applyFill="1" applyBorder="1" applyAlignment="1" applyProtection="1">
      <alignment horizontal="center"/>
    </xf>
    <xf numFmtId="173" fontId="10" fillId="0" borderId="27" xfId="1201" applyNumberFormat="1" applyFont="1" applyBorder="1" applyAlignment="1" applyProtection="1">
      <alignment horizontal="center"/>
    </xf>
    <xf numFmtId="173" fontId="10" fillId="0" borderId="39" xfId="1201" applyNumberFormat="1" applyFont="1" applyBorder="1" applyAlignment="1" applyProtection="1">
      <alignment horizontal="center"/>
    </xf>
    <xf numFmtId="173" fontId="10" fillId="0" borderId="39" xfId="1201" applyNumberFormat="1" applyFont="1" applyFill="1" applyBorder="1" applyAlignment="1" applyProtection="1">
      <alignment horizontal="center"/>
    </xf>
    <xf numFmtId="173" fontId="10" fillId="0" borderId="34" xfId="1201" applyNumberFormat="1" applyFont="1" applyFill="1" applyBorder="1" applyAlignment="1" applyProtection="1">
      <alignment horizontal="center"/>
    </xf>
    <xf numFmtId="0" fontId="5" fillId="0" borderId="28" xfId="0" applyNumberFormat="1" applyFont="1" applyBorder="1" applyAlignment="1" applyProtection="1">
      <alignment horizontal="center"/>
    </xf>
    <xf numFmtId="173" fontId="5" fillId="0" borderId="0" xfId="0" applyNumberFormat="1" applyFont="1" applyBorder="1" applyProtection="1"/>
    <xf numFmtId="173" fontId="5" fillId="0" borderId="38" xfId="1201" applyNumberFormat="1" applyFont="1" applyBorder="1" applyProtection="1"/>
    <xf numFmtId="174" fontId="5" fillId="0" borderId="20" xfId="0" applyNumberFormat="1" applyFont="1" applyBorder="1" applyProtection="1"/>
    <xf numFmtId="174" fontId="5" fillId="0" borderId="38" xfId="0" applyNumberFormat="1" applyFont="1" applyFill="1" applyBorder="1" applyProtection="1"/>
    <xf numFmtId="174" fontId="5" fillId="0" borderId="38" xfId="0" applyNumberFormat="1" applyFont="1" applyBorder="1" applyProtection="1"/>
    <xf numFmtId="174" fontId="5" fillId="0" borderId="28" xfId="0" applyNumberFormat="1" applyFont="1" applyBorder="1" applyProtection="1"/>
    <xf numFmtId="173" fontId="5" fillId="0" borderId="28" xfId="0" applyNumberFormat="1" applyFont="1" applyBorder="1" applyProtection="1"/>
    <xf numFmtId="173" fontId="5" fillId="0" borderId="28" xfId="1201" applyNumberFormat="1" applyFont="1" applyBorder="1" applyProtection="1"/>
    <xf numFmtId="174" fontId="5" fillId="27" borderId="28" xfId="0" applyNumberFormat="1" applyFont="1" applyFill="1" applyBorder="1" applyProtection="1"/>
    <xf numFmtId="173" fontId="5" fillId="0" borderId="28" xfId="0" applyNumberFormat="1" applyFont="1" applyFill="1" applyBorder="1" applyProtection="1"/>
    <xf numFmtId="173" fontId="5" fillId="0" borderId="28" xfId="1201" applyNumberFormat="1" applyFont="1" applyFill="1" applyBorder="1" applyProtection="1"/>
    <xf numFmtId="0" fontId="5" fillId="0" borderId="39" xfId="0" applyNumberFormat="1" applyFont="1" applyBorder="1" applyAlignment="1" applyProtection="1">
      <alignment horizontal="center"/>
    </xf>
    <xf numFmtId="173" fontId="5" fillId="0" borderId="39" xfId="0" applyNumberFormat="1" applyFont="1" applyBorder="1" applyProtection="1"/>
    <xf numFmtId="173" fontId="5" fillId="0" borderId="39" xfId="1201" applyNumberFormat="1" applyFont="1" applyBorder="1" applyProtection="1"/>
    <xf numFmtId="173" fontId="5" fillId="0" borderId="39" xfId="1201" applyNumberFormat="1" applyFont="1" applyFill="1" applyBorder="1" applyProtection="1"/>
    <xf numFmtId="174" fontId="5" fillId="0" borderId="27" xfId="0" applyNumberFormat="1" applyFont="1" applyBorder="1" applyProtection="1"/>
    <xf numFmtId="174" fontId="5" fillId="27" borderId="39" xfId="0" applyNumberFormat="1" applyFont="1" applyFill="1" applyBorder="1" applyProtection="1"/>
    <xf numFmtId="174" fontId="5" fillId="0" borderId="39" xfId="0" applyNumberFormat="1" applyFont="1" applyBorder="1" applyProtection="1"/>
    <xf numFmtId="174" fontId="5" fillId="0" borderId="0" xfId="0" applyNumberFormat="1" applyFont="1" applyBorder="1" applyProtection="1"/>
    <xf numFmtId="173" fontId="5" fillId="0" borderId="0" xfId="0" applyNumberFormat="1" applyFont="1" applyProtection="1"/>
    <xf numFmtId="0" fontId="5" fillId="0" borderId="0" xfId="0" applyFont="1" applyAlignment="1" applyProtection="1">
      <alignment horizontal="left"/>
    </xf>
    <xf numFmtId="0" fontId="19" fillId="0" borderId="0" xfId="1409" applyFont="1" applyFill="1" applyBorder="1" applyAlignment="1" applyProtection="1">
      <alignment horizontal="center"/>
    </xf>
    <xf numFmtId="10" fontId="85" fillId="0" borderId="32" xfId="0" applyNumberFormat="1" applyFont="1" applyFill="1" applyBorder="1" applyProtection="1"/>
    <xf numFmtId="1" fontId="5" fillId="26" borderId="0" xfId="881" applyNumberFormat="1" applyFont="1" applyFill="1" applyBorder="1" applyAlignment="1" applyProtection="1">
      <alignment horizontal="center"/>
    </xf>
    <xf numFmtId="167" fontId="85" fillId="0" borderId="32" xfId="0" applyNumberFormat="1" applyFont="1" applyFill="1" applyBorder="1" applyProtection="1"/>
    <xf numFmtId="41" fontId="5" fillId="0" borderId="19" xfId="881" quotePrefix="1" applyNumberFormat="1" applyFont="1" applyFill="1" applyBorder="1" applyAlignment="1" applyProtection="1">
      <alignment horizontal="left"/>
    </xf>
    <xf numFmtId="41" fontId="5" fillId="0" borderId="0" xfId="881" quotePrefix="1" applyNumberFormat="1" applyFont="1" applyFill="1" applyBorder="1" applyAlignment="1" applyProtection="1">
      <alignment horizontal="right"/>
    </xf>
    <xf numFmtId="41" fontId="5" fillId="0" borderId="19" xfId="881" quotePrefix="1" applyNumberFormat="1" applyFont="1" applyFill="1" applyBorder="1" applyAlignment="1" applyProtection="1">
      <alignment horizontal="left" vertical="center"/>
    </xf>
    <xf numFmtId="41" fontId="5" fillId="0" borderId="0" xfId="881" quotePrefix="1" applyNumberFormat="1" applyFont="1" applyFill="1" applyBorder="1" applyAlignment="1" applyProtection="1">
      <alignment horizontal="right" vertical="center"/>
    </xf>
    <xf numFmtId="0" fontId="5" fillId="0" borderId="33" xfId="0" applyFont="1" applyFill="1" applyBorder="1" applyAlignment="1" applyProtection="1">
      <alignment horizontal="left"/>
    </xf>
    <xf numFmtId="0" fontId="5" fillId="0" borderId="30" xfId="0" applyFont="1" applyFill="1" applyBorder="1" applyAlignment="1" applyProtection="1">
      <alignment horizontal="right"/>
    </xf>
    <xf numFmtId="173" fontId="5" fillId="0" borderId="30" xfId="0" applyNumberFormat="1" applyFont="1" applyFill="1" applyBorder="1" applyProtection="1"/>
    <xf numFmtId="173" fontId="5" fillId="0" borderId="31" xfId="0" applyNumberFormat="1" applyFont="1" applyFill="1" applyBorder="1" applyProtection="1"/>
    <xf numFmtId="173" fontId="5" fillId="0" borderId="0" xfId="881" quotePrefix="1" applyNumberFormat="1" applyFont="1" applyFill="1" applyBorder="1" applyAlignment="1" applyProtection="1">
      <alignment horizontal="center"/>
    </xf>
    <xf numFmtId="174" fontId="5" fillId="0" borderId="0" xfId="0" applyNumberFormat="1" applyFont="1" applyFill="1" applyBorder="1" applyProtection="1"/>
    <xf numFmtId="0" fontId="5" fillId="0" borderId="25" xfId="0" applyFont="1" applyFill="1" applyBorder="1" applyProtection="1"/>
    <xf numFmtId="173" fontId="85" fillId="0" borderId="42" xfId="0" applyNumberFormat="1" applyFont="1" applyFill="1" applyBorder="1" applyProtection="1"/>
    <xf numFmtId="0" fontId="5" fillId="0" borderId="26" xfId="0" applyFont="1" applyFill="1" applyBorder="1" applyProtection="1"/>
    <xf numFmtId="173" fontId="85" fillId="0" borderId="33" xfId="0" applyNumberFormat="1" applyFont="1" applyFill="1" applyBorder="1" applyProtection="1"/>
    <xf numFmtId="0" fontId="5" fillId="0" borderId="27" xfId="0" applyFont="1" applyFill="1" applyBorder="1" applyProtection="1"/>
    <xf numFmtId="173" fontId="5" fillId="0" borderId="0" xfId="0" applyNumberFormat="1" applyFont="1" applyFill="1" applyBorder="1" applyProtection="1"/>
    <xf numFmtId="174" fontId="85" fillId="0" borderId="28" xfId="0" applyNumberFormat="1" applyFont="1" applyBorder="1" applyProtection="1"/>
    <xf numFmtId="0" fontId="12" fillId="0" borderId="0" xfId="1208" quotePrefix="1" applyFont="1" applyAlignment="1" applyProtection="1">
      <alignment horizontal="left"/>
    </xf>
    <xf numFmtId="0" fontId="5" fillId="0" borderId="0" xfId="1208" applyFont="1" applyFill="1" applyBorder="1" applyProtection="1"/>
    <xf numFmtId="0" fontId="5" fillId="0" borderId="0" xfId="1208" applyFont="1" applyAlignment="1" applyProtection="1">
      <alignment horizontal="center"/>
    </xf>
    <xf numFmtId="10" fontId="5" fillId="0" borderId="0" xfId="1208" applyNumberFormat="1" applyFont="1" applyProtection="1"/>
    <xf numFmtId="0" fontId="5" fillId="0" borderId="0" xfId="1208" applyFont="1" applyBorder="1" applyProtection="1"/>
    <xf numFmtId="0" fontId="19" fillId="0" borderId="0" xfId="1208" applyFont="1" applyAlignment="1" applyProtection="1">
      <alignment horizontal="right"/>
    </xf>
    <xf numFmtId="0" fontId="19" fillId="0" borderId="0" xfId="1208" quotePrefix="1" applyFont="1" applyAlignment="1" applyProtection="1">
      <alignment horizontal="right"/>
    </xf>
    <xf numFmtId="0" fontId="58" fillId="0" borderId="0" xfId="1208" applyFont="1" applyFill="1" applyProtection="1"/>
    <xf numFmtId="0" fontId="9" fillId="0" borderId="0" xfId="1208" applyFont="1" applyFill="1" applyProtection="1"/>
    <xf numFmtId="1" fontId="10" fillId="0" borderId="47" xfId="1208" applyNumberFormat="1" applyFont="1" applyFill="1" applyBorder="1" applyAlignment="1" applyProtection="1">
      <alignment horizontal="center"/>
    </xf>
    <xf numFmtId="172" fontId="5" fillId="0" borderId="40" xfId="881" applyFont="1" applyBorder="1" applyAlignment="1" applyProtection="1">
      <alignment horizontal="center"/>
    </xf>
    <xf numFmtId="172" fontId="5" fillId="0" borderId="40" xfId="881" quotePrefix="1" applyFont="1" applyBorder="1" applyAlignment="1" applyProtection="1">
      <alignment horizontal="center"/>
    </xf>
    <xf numFmtId="3" fontId="5" fillId="0" borderId="41" xfId="881" applyNumberFormat="1" applyFont="1" applyBorder="1" applyAlignment="1" applyProtection="1">
      <alignment horizontal="center"/>
    </xf>
    <xf numFmtId="0" fontId="80" fillId="0" borderId="0" xfId="1208" applyFont="1" applyProtection="1"/>
    <xf numFmtId="0" fontId="5" fillId="0" borderId="38" xfId="1208" applyFont="1" applyBorder="1" applyProtection="1"/>
    <xf numFmtId="173" fontId="5" fillId="0" borderId="19" xfId="1201" quotePrefix="1" applyNumberFormat="1" applyFont="1" applyBorder="1" applyAlignment="1" applyProtection="1">
      <alignment horizontal="right"/>
    </xf>
    <xf numFmtId="173" fontId="10" fillId="0" borderId="0" xfId="1201" applyNumberFormat="1" applyFont="1" applyBorder="1" applyProtection="1"/>
    <xf numFmtId="173" fontId="5" fillId="0" borderId="20" xfId="1208" applyNumberFormat="1" applyFont="1" applyBorder="1" applyProtection="1"/>
    <xf numFmtId="0" fontId="9" fillId="0" borderId="0" xfId="1208" applyFont="1" applyAlignment="1" applyProtection="1">
      <alignment horizontal="left"/>
    </xf>
    <xf numFmtId="0" fontId="8" fillId="0" borderId="44" xfId="1201" applyNumberFormat="1" applyFont="1" applyFill="1" applyBorder="1" applyAlignment="1" applyProtection="1">
      <alignment horizontal="left"/>
    </xf>
    <xf numFmtId="173" fontId="5" fillId="0" borderId="45" xfId="1201" quotePrefix="1" applyNumberFormat="1" applyFont="1" applyBorder="1" applyAlignment="1" applyProtection="1">
      <alignment horizontal="right"/>
    </xf>
    <xf numFmtId="173" fontId="10" fillId="0" borderId="11" xfId="1201" applyNumberFormat="1" applyFont="1" applyBorder="1" applyProtection="1"/>
    <xf numFmtId="173" fontId="5" fillId="0" borderId="25" xfId="1208" applyNumberFormat="1" applyFont="1" applyBorder="1" applyProtection="1"/>
    <xf numFmtId="0" fontId="10" fillId="0" borderId="0" xfId="1208" applyFont="1" applyFill="1" applyProtection="1"/>
    <xf numFmtId="0" fontId="5" fillId="0" borderId="34" xfId="1208" quotePrefix="1" applyFont="1" applyBorder="1" applyAlignment="1" applyProtection="1">
      <alignment horizontal="right"/>
    </xf>
    <xf numFmtId="173" fontId="10" fillId="0" borderId="6" xfId="1201" applyNumberFormat="1" applyFont="1" applyFill="1" applyBorder="1" applyAlignment="1" applyProtection="1">
      <alignment horizontal="left"/>
    </xf>
    <xf numFmtId="173" fontId="10" fillId="0" borderId="27" xfId="1201" applyNumberFormat="1" applyFont="1" applyFill="1" applyBorder="1" applyAlignment="1" applyProtection="1">
      <alignment horizontal="left"/>
    </xf>
    <xf numFmtId="173" fontId="5" fillId="0" borderId="0" xfId="1208" applyNumberFormat="1" applyFont="1" applyAlignment="1" applyProtection="1">
      <alignment horizontal="left"/>
    </xf>
    <xf numFmtId="173" fontId="5" fillId="0" borderId="0" xfId="1208" applyNumberFormat="1" applyFont="1" applyProtection="1"/>
    <xf numFmtId="0" fontId="5" fillId="0" borderId="0" xfId="1208" applyFont="1" applyFill="1" applyAlignment="1" applyProtection="1">
      <alignment wrapText="1"/>
    </xf>
    <xf numFmtId="0" fontId="5" fillId="0" borderId="0" xfId="1208" applyFont="1" applyFill="1" applyProtection="1"/>
    <xf numFmtId="0" fontId="5" fillId="0" borderId="35" xfId="1208" applyFont="1" applyFill="1" applyBorder="1" applyAlignment="1" applyProtection="1">
      <alignment horizontal="center"/>
    </xf>
    <xf numFmtId="0" fontId="5" fillId="0" borderId="36" xfId="1208" applyFont="1" applyBorder="1" applyAlignment="1" applyProtection="1"/>
    <xf numFmtId="0" fontId="5" fillId="0" borderId="0" xfId="1208" applyFont="1" applyFill="1" applyBorder="1" applyAlignment="1" applyProtection="1"/>
    <xf numFmtId="0" fontId="5" fillId="0" borderId="0" xfId="1208" applyFont="1" applyBorder="1" applyAlignment="1" applyProtection="1"/>
    <xf numFmtId="0" fontId="5" fillId="0" borderId="19" xfId="1208" quotePrefix="1" applyFont="1" applyFill="1" applyBorder="1" applyAlignment="1" applyProtection="1">
      <alignment horizontal="left"/>
    </xf>
    <xf numFmtId="0" fontId="5" fillId="0" borderId="0" xfId="1208" applyFont="1" applyBorder="1" applyAlignment="1" applyProtection="1">
      <alignment horizontal="center"/>
    </xf>
    <xf numFmtId="1" fontId="10" fillId="0" borderId="21" xfId="1208" applyNumberFormat="1" applyFont="1" applyFill="1" applyBorder="1" applyAlignment="1" applyProtection="1">
      <alignment horizontal="center"/>
    </xf>
    <xf numFmtId="0" fontId="10" fillId="0" borderId="0" xfId="1208" applyFont="1" applyFill="1" applyBorder="1" applyAlignment="1" applyProtection="1">
      <alignment horizontal="center"/>
    </xf>
    <xf numFmtId="0" fontId="5" fillId="0" borderId="19" xfId="1208" applyFont="1" applyFill="1" applyBorder="1" applyProtection="1"/>
    <xf numFmtId="173" fontId="5" fillId="0" borderId="20" xfId="1208" applyNumberFormat="1" applyFont="1" applyFill="1" applyBorder="1" applyAlignment="1" applyProtection="1">
      <alignment horizontal="right"/>
    </xf>
    <xf numFmtId="173" fontId="5" fillId="0" borderId="0" xfId="1208" applyNumberFormat="1" applyFont="1" applyFill="1" applyBorder="1" applyAlignment="1" applyProtection="1">
      <alignment horizontal="right"/>
    </xf>
    <xf numFmtId="10" fontId="5" fillId="0" borderId="20" xfId="1208" applyNumberFormat="1" applyFont="1" applyBorder="1" applyProtection="1"/>
    <xf numFmtId="10" fontId="5" fillId="0" borderId="0" xfId="1208" applyNumberFormat="1" applyFont="1" applyFill="1" applyBorder="1" applyProtection="1"/>
    <xf numFmtId="10" fontId="5" fillId="0" borderId="0" xfId="1208" applyNumberFormat="1" applyFont="1" applyBorder="1" applyProtection="1"/>
    <xf numFmtId="0" fontId="5" fillId="0" borderId="34" xfId="1208" applyFont="1" applyBorder="1" applyProtection="1"/>
    <xf numFmtId="0" fontId="5" fillId="0" borderId="6" xfId="1208" applyFont="1" applyBorder="1" applyAlignment="1" applyProtection="1">
      <alignment horizontal="center"/>
    </xf>
    <xf numFmtId="0" fontId="5" fillId="0" borderId="6" xfId="1208" applyFont="1" applyBorder="1" applyProtection="1"/>
    <xf numFmtId="0" fontId="5" fillId="0" borderId="0" xfId="1208" applyFont="1" applyAlignment="1" applyProtection="1">
      <alignment wrapText="1"/>
    </xf>
    <xf numFmtId="0" fontId="10" fillId="0" borderId="38" xfId="1208" applyFont="1" applyBorder="1" applyAlignment="1" applyProtection="1">
      <alignment horizontal="center" wrapText="1"/>
    </xf>
    <xf numFmtId="173" fontId="10" fillId="0" borderId="38" xfId="1201" applyNumberFormat="1" applyFont="1" applyFill="1" applyBorder="1" applyAlignment="1" applyProtection="1">
      <alignment horizontal="center"/>
    </xf>
    <xf numFmtId="173" fontId="10" fillId="0" borderId="38" xfId="1201" quotePrefix="1" applyNumberFormat="1" applyFont="1" applyFill="1" applyBorder="1" applyAlignment="1" applyProtection="1">
      <alignment horizontal="center" wrapText="1"/>
    </xf>
    <xf numFmtId="0" fontId="10" fillId="0" borderId="28" xfId="1208" applyFont="1" applyBorder="1" applyAlignment="1" applyProtection="1">
      <alignment horizontal="center" wrapText="1"/>
    </xf>
    <xf numFmtId="0" fontId="10" fillId="0" borderId="39" xfId="1208" applyFont="1" applyBorder="1" applyAlignment="1" applyProtection="1">
      <alignment horizontal="center"/>
    </xf>
    <xf numFmtId="0" fontId="10" fillId="0" borderId="6" xfId="1208" applyFont="1" applyFill="1" applyBorder="1" applyAlignment="1" applyProtection="1">
      <alignment horizontal="center"/>
    </xf>
    <xf numFmtId="0" fontId="10" fillId="0" borderId="39" xfId="1208" applyFont="1" applyFill="1" applyBorder="1" applyAlignment="1" applyProtection="1">
      <alignment horizontal="center"/>
    </xf>
    <xf numFmtId="0" fontId="10" fillId="0" borderId="28" xfId="1208" applyFont="1" applyFill="1" applyBorder="1" applyAlignment="1" applyProtection="1">
      <alignment horizontal="center"/>
    </xf>
    <xf numFmtId="0" fontId="5" fillId="0" borderId="28" xfId="1208" applyNumberFormat="1" applyFont="1" applyBorder="1" applyAlignment="1" applyProtection="1">
      <alignment horizontal="center"/>
    </xf>
    <xf numFmtId="173" fontId="5" fillId="0" borderId="0" xfId="1208" applyNumberFormat="1" applyFont="1" applyBorder="1" applyProtection="1"/>
    <xf numFmtId="173" fontId="5" fillId="0" borderId="28" xfId="1208" applyNumberFormat="1" applyFont="1" applyBorder="1" applyProtection="1"/>
    <xf numFmtId="173" fontId="5" fillId="0" borderId="38" xfId="1208" applyNumberFormat="1" applyFont="1" applyBorder="1" applyProtection="1"/>
    <xf numFmtId="170" fontId="5" fillId="0" borderId="28" xfId="1201" applyNumberFormat="1" applyFont="1" applyFill="1" applyBorder="1" applyProtection="1"/>
    <xf numFmtId="170" fontId="5" fillId="0" borderId="20" xfId="1201" applyNumberFormat="1" applyFont="1" applyFill="1" applyBorder="1" applyProtection="1"/>
    <xf numFmtId="174" fontId="5" fillId="0" borderId="28" xfId="1208" applyNumberFormat="1" applyFont="1" applyBorder="1" applyProtection="1"/>
    <xf numFmtId="174" fontId="5" fillId="27" borderId="38" xfId="1208" applyNumberFormat="1" applyFont="1" applyFill="1" applyBorder="1" applyProtection="1"/>
    <xf numFmtId="174" fontId="5" fillId="0" borderId="38" xfId="1208" applyNumberFormat="1" applyFont="1" applyBorder="1" applyProtection="1"/>
    <xf numFmtId="173" fontId="5" fillId="0" borderId="20" xfId="1201" applyNumberFormat="1" applyFont="1" applyFill="1" applyBorder="1" applyProtection="1"/>
    <xf numFmtId="174" fontId="5" fillId="27" borderId="28" xfId="1208" applyNumberFormat="1" applyFont="1" applyFill="1" applyBorder="1" applyProtection="1"/>
    <xf numFmtId="0" fontId="5" fillId="0" borderId="39" xfId="1208" applyNumberFormat="1" applyFont="1" applyBorder="1" applyAlignment="1" applyProtection="1">
      <alignment horizontal="center"/>
    </xf>
    <xf numFmtId="173" fontId="5" fillId="0" borderId="6" xfId="1208" applyNumberFormat="1" applyFont="1" applyBorder="1" applyProtection="1"/>
    <xf numFmtId="173" fontId="5" fillId="0" borderId="39" xfId="1208" applyNumberFormat="1" applyFont="1" applyBorder="1" applyProtection="1"/>
    <xf numFmtId="173" fontId="5" fillId="0" borderId="27" xfId="1201" applyNumberFormat="1" applyFont="1" applyFill="1" applyBorder="1" applyProtection="1"/>
    <xf numFmtId="174" fontId="5" fillId="0" borderId="39" xfId="1208" applyNumberFormat="1" applyFont="1" applyBorder="1" applyProtection="1"/>
    <xf numFmtId="174" fontId="5" fillId="27" borderId="39" xfId="1208" applyNumberFormat="1" applyFont="1" applyFill="1" applyBorder="1" applyProtection="1"/>
    <xf numFmtId="0" fontId="5" fillId="0" borderId="0" xfId="1208" quotePrefix="1" applyFont="1" applyAlignment="1" applyProtection="1">
      <alignment horizontal="left"/>
    </xf>
    <xf numFmtId="174" fontId="5" fillId="0" borderId="0" xfId="1208" applyNumberFormat="1" applyFont="1" applyBorder="1" applyProtection="1"/>
    <xf numFmtId="0" fontId="5" fillId="0" borderId="0" xfId="883" applyFont="1" applyFill="1" applyProtection="1"/>
    <xf numFmtId="173" fontId="5" fillId="0" borderId="0" xfId="883" applyNumberFormat="1" applyFont="1" applyFill="1" applyProtection="1"/>
    <xf numFmtId="43" fontId="5" fillId="0" borderId="0" xfId="535" applyFont="1" applyFill="1" applyProtection="1"/>
    <xf numFmtId="0" fontId="65" fillId="0" borderId="0" xfId="883" applyFont="1" applyFill="1" applyAlignment="1" applyProtection="1"/>
    <xf numFmtId="0" fontId="5" fillId="0" borderId="0" xfId="883" applyFont="1" applyFill="1" applyBorder="1" applyProtection="1"/>
    <xf numFmtId="0" fontId="5" fillId="0" borderId="0" xfId="0" applyFont="1" applyFill="1" applyAlignment="1" applyProtection="1">
      <alignment horizontal="right"/>
    </xf>
    <xf numFmtId="5" fontId="5" fillId="0" borderId="14" xfId="198" applyNumberFormat="1" applyFont="1" applyFill="1" applyBorder="1" applyAlignment="1" applyProtection="1"/>
    <xf numFmtId="173" fontId="5" fillId="0" borderId="0" xfId="198" applyNumberFormat="1" applyFont="1" applyFill="1" applyAlignment="1" applyProtection="1"/>
    <xf numFmtId="37" fontId="20" fillId="27" borderId="0" xfId="535" applyNumberFormat="1" applyFont="1" applyFill="1" applyProtection="1"/>
    <xf numFmtId="173" fontId="20" fillId="27" borderId="0" xfId="1183" applyNumberFormat="1" applyFont="1" applyFill="1" applyBorder="1" applyProtection="1"/>
    <xf numFmtId="0" fontId="85" fillId="27" borderId="0" xfId="1183" applyNumberFormat="1" applyFont="1" applyFill="1" applyBorder="1" applyAlignment="1" applyProtection="1">
      <alignment horizontal="left"/>
    </xf>
    <xf numFmtId="43" fontId="20" fillId="27" borderId="0" xfId="1183" applyFont="1" applyFill="1" applyBorder="1" applyProtection="1"/>
    <xf numFmtId="43" fontId="85" fillId="27" borderId="0" xfId="1183" applyFont="1" applyFill="1" applyBorder="1" applyProtection="1"/>
    <xf numFmtId="40" fontId="5" fillId="0" borderId="0" xfId="0" applyNumberFormat="1" applyFont="1" applyFill="1" applyProtection="1"/>
    <xf numFmtId="0" fontId="9" fillId="0" borderId="0" xfId="1176" applyFont="1" applyFill="1" applyBorder="1" applyProtection="1"/>
    <xf numFmtId="0" fontId="85" fillId="27" borderId="0" xfId="1183" applyNumberFormat="1" applyFont="1" applyFill="1" applyBorder="1" applyProtection="1"/>
    <xf numFmtId="191" fontId="5" fillId="0" borderId="0" xfId="0" applyNumberFormat="1" applyFont="1" applyFill="1" applyProtection="1"/>
    <xf numFmtId="0" fontId="5" fillId="0" borderId="0" xfId="882" applyNumberFormat="1" applyFont="1" applyFill="1" applyProtection="1"/>
    <xf numFmtId="184" fontId="5" fillId="0" borderId="0" xfId="882" applyNumberFormat="1" applyFont="1" applyFill="1" applyProtection="1"/>
    <xf numFmtId="0" fontId="5" fillId="0" borderId="0" xfId="882" applyFont="1" applyFill="1" applyProtection="1"/>
    <xf numFmtId="173" fontId="87" fillId="27" borderId="0" xfId="1183" applyNumberFormat="1" applyFont="1" applyFill="1" applyBorder="1" applyProtection="1"/>
    <xf numFmtId="173" fontId="5" fillId="0" borderId="0" xfId="1183" applyNumberFormat="1" applyFont="1" applyFill="1" applyProtection="1"/>
    <xf numFmtId="173" fontId="159" fillId="27" borderId="0" xfId="1183" applyNumberFormat="1" applyFont="1" applyFill="1" applyBorder="1" applyProtection="1"/>
    <xf numFmtId="0" fontId="5" fillId="0" borderId="0" xfId="0" applyFont="1" applyFill="1" applyAlignment="1" applyProtection="1">
      <alignment vertical="center"/>
    </xf>
    <xf numFmtId="0" fontId="5" fillId="0" borderId="0" xfId="882" applyNumberFormat="1" applyFont="1" applyFill="1" applyAlignment="1" applyProtection="1">
      <alignment horizontal="center"/>
    </xf>
    <xf numFmtId="0" fontId="5" fillId="0" borderId="66" xfId="1172" applyNumberFormat="1" applyFont="1" applyBorder="1" applyAlignment="1" applyProtection="1">
      <alignment horizontal="center"/>
    </xf>
    <xf numFmtId="175" fontId="196" fillId="0" borderId="0" xfId="1429" applyNumberFormat="1" applyFont="1" applyFill="1" applyProtection="1"/>
    <xf numFmtId="173" fontId="196" fillId="0" borderId="0" xfId="1533" applyNumberFormat="1" applyFont="1" applyFill="1" applyProtection="1"/>
    <xf numFmtId="173" fontId="196" fillId="0" borderId="0" xfId="1201" applyNumberFormat="1" applyFont="1" applyFill="1" applyProtection="1"/>
    <xf numFmtId="173" fontId="196" fillId="0" borderId="0" xfId="1533" applyNumberFormat="1" applyFont="1" applyFill="1" applyBorder="1" applyProtection="1"/>
    <xf numFmtId="173" fontId="82" fillId="0" borderId="0" xfId="1533" applyNumberFormat="1" applyFont="1" applyFill="1" applyProtection="1"/>
    <xf numFmtId="173" fontId="8" fillId="0" borderId="0" xfId="1533" applyNumberFormat="1" applyFont="1" applyFill="1" applyProtection="1"/>
    <xf numFmtId="173" fontId="82" fillId="0" borderId="0" xfId="1533" applyNumberFormat="1" applyFont="1" applyFill="1" applyBorder="1" applyAlignment="1" applyProtection="1">
      <alignment horizontal="center"/>
    </xf>
    <xf numFmtId="10" fontId="5" fillId="0" borderId="0" xfId="1534" applyNumberFormat="1" applyFont="1" applyProtection="1"/>
    <xf numFmtId="173" fontId="82" fillId="0" borderId="0" xfId="1533" applyNumberFormat="1" applyFont="1" applyFill="1" applyAlignment="1" applyProtection="1">
      <alignment horizontal="center"/>
    </xf>
    <xf numFmtId="173" fontId="196" fillId="0" borderId="6" xfId="1533" applyNumberFormat="1" applyFont="1" applyFill="1" applyBorder="1" applyProtection="1"/>
    <xf numFmtId="173" fontId="8" fillId="0" borderId="2" xfId="1533" applyNumberFormat="1" applyFont="1" applyFill="1" applyBorder="1" applyProtection="1"/>
    <xf numFmtId="173" fontId="196" fillId="0" borderId="2" xfId="1533" applyNumberFormat="1" applyFont="1" applyFill="1" applyBorder="1" applyProtection="1"/>
    <xf numFmtId="173" fontId="8" fillId="0" borderId="0" xfId="1533" applyNumberFormat="1" applyFont="1" applyFill="1" applyBorder="1" applyProtection="1"/>
    <xf numFmtId="173" fontId="8" fillId="0" borderId="11" xfId="1533" applyNumberFormat="1" applyFont="1" applyFill="1" applyBorder="1" applyProtection="1"/>
    <xf numFmtId="173" fontId="196" fillId="0" borderId="11" xfId="1533" applyNumberFormat="1" applyFont="1" applyFill="1" applyBorder="1" applyProtection="1"/>
    <xf numFmtId="43" fontId="5" fillId="0" borderId="0" xfId="1208" applyNumberFormat="1" applyFont="1" applyFill="1" applyBorder="1" applyProtection="1"/>
    <xf numFmtId="173" fontId="196" fillId="0" borderId="6" xfId="1201" applyNumberFormat="1" applyFont="1" applyFill="1" applyBorder="1" applyProtection="1"/>
    <xf numFmtId="0" fontId="8" fillId="0" borderId="0" xfId="1535" applyFont="1" applyAlignment="1" applyProtection="1"/>
    <xf numFmtId="0" fontId="16" fillId="0" borderId="0" xfId="1535" applyFont="1" applyAlignment="1" applyProtection="1"/>
    <xf numFmtId="174" fontId="16" fillId="0" borderId="0" xfId="1535" applyNumberFormat="1" applyFont="1" applyBorder="1" applyAlignment="1" applyProtection="1"/>
    <xf numFmtId="1" fontId="16" fillId="0" borderId="0" xfId="1535" applyNumberFormat="1" applyFont="1" applyAlignment="1" applyProtection="1">
      <alignment horizontal="left"/>
    </xf>
    <xf numFmtId="0" fontId="16" fillId="0" borderId="0" xfId="1535" quotePrefix="1" applyFont="1" applyAlignment="1" applyProtection="1">
      <alignment horizontal="left"/>
    </xf>
    <xf numFmtId="1" fontId="16" fillId="0" borderId="0" xfId="1535" applyNumberFormat="1" applyFont="1" applyAlignment="1" applyProtection="1">
      <alignment horizontal="center"/>
    </xf>
    <xf numFmtId="14" fontId="16" fillId="0" borderId="0" xfId="1535" quotePrefix="1" applyNumberFormat="1" applyFont="1" applyAlignment="1" applyProtection="1">
      <alignment horizontal="left"/>
    </xf>
    <xf numFmtId="43" fontId="16" fillId="0" borderId="0" xfId="1535" applyNumberFormat="1" applyFont="1" applyAlignment="1" applyProtection="1"/>
    <xf numFmtId="10" fontId="16" fillId="0" borderId="0" xfId="1535" applyNumberFormat="1" applyFont="1" applyAlignment="1" applyProtection="1"/>
    <xf numFmtId="0" fontId="16" fillId="0" borderId="0" xfId="1535" quotePrefix="1" applyFont="1" applyBorder="1" applyAlignment="1" applyProtection="1">
      <alignment horizontal="left"/>
    </xf>
    <xf numFmtId="43" fontId="16" fillId="0" borderId="0" xfId="1535" applyNumberFormat="1" applyFont="1" applyBorder="1" applyAlignment="1" applyProtection="1"/>
    <xf numFmtId="0" fontId="200" fillId="0" borderId="0" xfId="1535" applyFont="1" applyAlignment="1" applyProtection="1"/>
    <xf numFmtId="0" fontId="16" fillId="0" borderId="0" xfId="1535" applyFont="1" applyAlignment="1" applyProtection="1">
      <alignment horizontal="left"/>
    </xf>
    <xf numFmtId="0" fontId="16" fillId="0" borderId="0" xfId="1535" applyFont="1" applyBorder="1" applyAlignment="1" applyProtection="1"/>
    <xf numFmtId="10" fontId="16" fillId="0" borderId="0" xfId="1535" applyNumberFormat="1" applyFont="1" applyBorder="1" applyAlignment="1" applyProtection="1"/>
    <xf numFmtId="164" fontId="16" fillId="0" borderId="0" xfId="1535" applyNumberFormat="1" applyFont="1" applyAlignment="1" applyProtection="1"/>
    <xf numFmtId="49" fontId="8" fillId="0" borderId="0" xfId="1409" applyNumberFormat="1" applyFont="1" applyFill="1" applyBorder="1" applyAlignment="1" applyProtection="1">
      <alignment horizontal="center"/>
    </xf>
    <xf numFmtId="49" fontId="8" fillId="0" borderId="0" xfId="1409" applyNumberFormat="1" applyFont="1" applyFill="1" applyBorder="1" applyAlignment="1" applyProtection="1">
      <alignment horizontal="left"/>
    </xf>
    <xf numFmtId="0" fontId="10" fillId="0" borderId="0" xfId="1409" quotePrefix="1" applyFont="1" applyFill="1" applyBorder="1" applyAlignment="1" applyProtection="1">
      <alignment horizontal="center"/>
    </xf>
    <xf numFmtId="0" fontId="18" fillId="0" borderId="0" xfId="1409" quotePrefix="1" applyFont="1" applyFill="1" applyBorder="1" applyAlignment="1" applyProtection="1">
      <alignment horizontal="center"/>
    </xf>
    <xf numFmtId="0" fontId="18" fillId="0" borderId="0" xfId="1176" applyFont="1" applyFill="1" applyAlignment="1" applyProtection="1">
      <alignment horizontal="center"/>
    </xf>
    <xf numFmtId="190" fontId="18" fillId="0" borderId="0" xfId="1409" applyNumberFormat="1" applyFont="1" applyFill="1" applyBorder="1" applyAlignment="1" applyProtection="1">
      <alignment horizontal="center"/>
    </xf>
    <xf numFmtId="14" fontId="5" fillId="0" borderId="0" xfId="1409" applyNumberFormat="1" applyFont="1" applyFill="1" applyBorder="1" applyAlignment="1" applyProtection="1">
      <alignment horizontal="center" wrapText="1"/>
    </xf>
    <xf numFmtId="0" fontId="5" fillId="0" borderId="0" xfId="1528" applyFont="1" applyFill="1" applyProtection="1"/>
    <xf numFmtId="0" fontId="5" fillId="0" borderId="2" xfId="1409" applyFont="1" applyFill="1" applyBorder="1" applyProtection="1"/>
    <xf numFmtId="173" fontId="5" fillId="0" borderId="2" xfId="1409" applyNumberFormat="1" applyFont="1" applyFill="1" applyBorder="1" applyProtection="1"/>
    <xf numFmtId="43" fontId="5" fillId="0" borderId="0" xfId="1533" applyFont="1" applyFill="1" applyBorder="1" applyProtection="1"/>
    <xf numFmtId="43" fontId="78" fillId="0" borderId="0" xfId="1533" applyFont="1" applyFill="1" applyBorder="1" applyProtection="1"/>
    <xf numFmtId="43" fontId="8" fillId="0" borderId="0" xfId="1533" applyFont="1" applyFill="1" applyBorder="1" applyProtection="1"/>
    <xf numFmtId="43" fontId="10" fillId="0" borderId="0" xfId="1533" applyFont="1" applyFill="1" applyBorder="1" applyProtection="1"/>
    <xf numFmtId="1" fontId="5" fillId="0" borderId="0" xfId="1409" applyNumberFormat="1" applyFont="1" applyFill="1" applyBorder="1" applyAlignment="1" applyProtection="1">
      <alignment horizontal="center"/>
    </xf>
    <xf numFmtId="43" fontId="5" fillId="27" borderId="0" xfId="1533" applyFont="1" applyFill="1" applyBorder="1" applyProtection="1"/>
    <xf numFmtId="43" fontId="78" fillId="27" borderId="0" xfId="1533" applyFont="1" applyFill="1" applyBorder="1" applyProtection="1"/>
    <xf numFmtId="43" fontId="5" fillId="27" borderId="0" xfId="1533" applyFont="1" applyFill="1" applyBorder="1" applyAlignment="1" applyProtection="1">
      <alignment horizontal="center"/>
    </xf>
    <xf numFmtId="0" fontId="5" fillId="27" borderId="0" xfId="1533" applyNumberFormat="1" applyFont="1" applyFill="1" applyBorder="1" applyAlignment="1" applyProtection="1">
      <alignment horizontal="center"/>
    </xf>
    <xf numFmtId="173" fontId="5" fillId="27" borderId="0" xfId="1533" applyNumberFormat="1" applyFont="1" applyFill="1" applyBorder="1" applyProtection="1"/>
    <xf numFmtId="0" fontId="5" fillId="27" borderId="0" xfId="1533" quotePrefix="1" applyNumberFormat="1" applyFont="1" applyFill="1" applyBorder="1" applyAlignment="1" applyProtection="1">
      <alignment horizontal="center"/>
    </xf>
    <xf numFmtId="43" fontId="5" fillId="0" borderId="2" xfId="1533" applyFont="1" applyFill="1" applyBorder="1" applyProtection="1"/>
    <xf numFmtId="43" fontId="78" fillId="0" borderId="2" xfId="1533" applyFont="1" applyFill="1" applyBorder="1" applyProtection="1"/>
    <xf numFmtId="0" fontId="5" fillId="0" borderId="2" xfId="1533" applyNumberFormat="1" applyFont="1" applyFill="1" applyBorder="1" applyAlignment="1" applyProtection="1">
      <alignment horizontal="center"/>
    </xf>
    <xf numFmtId="173" fontId="5" fillId="0" borderId="2" xfId="1533" applyNumberFormat="1" applyFont="1" applyFill="1" applyBorder="1" applyProtection="1"/>
    <xf numFmtId="0" fontId="5" fillId="0" borderId="0" xfId="1533" applyNumberFormat="1" applyFont="1" applyFill="1" applyBorder="1" applyAlignment="1" applyProtection="1">
      <alignment horizontal="center"/>
    </xf>
    <xf numFmtId="173" fontId="5" fillId="0" borderId="0" xfId="1533" applyNumberFormat="1" applyFont="1" applyFill="1" applyBorder="1" applyProtection="1"/>
    <xf numFmtId="0" fontId="195" fillId="0" borderId="0" xfId="1409" applyFont="1" applyFill="1" applyBorder="1" applyProtection="1"/>
    <xf numFmtId="0" fontId="5" fillId="0" borderId="11" xfId="1409" applyFont="1" applyFill="1" applyBorder="1" applyProtection="1"/>
    <xf numFmtId="0" fontId="5" fillId="0" borderId="11" xfId="1409" applyFont="1" applyFill="1" applyBorder="1" applyAlignment="1" applyProtection="1">
      <alignment horizontal="center" wrapText="1"/>
    </xf>
    <xf numFmtId="190" fontId="18" fillId="0" borderId="11" xfId="1409" applyNumberFormat="1" applyFont="1" applyFill="1" applyBorder="1" applyAlignment="1" applyProtection="1">
      <alignment horizontal="center" wrapText="1"/>
    </xf>
    <xf numFmtId="0" fontId="18" fillId="0" borderId="11" xfId="1409" quotePrefix="1" applyFont="1" applyFill="1" applyBorder="1" applyAlignment="1" applyProtection="1">
      <alignment horizontal="center" wrapText="1"/>
    </xf>
    <xf numFmtId="14" fontId="5" fillId="27" borderId="0" xfId="1533" applyNumberFormat="1" applyFont="1" applyFill="1" applyBorder="1" applyAlignment="1" applyProtection="1">
      <alignment horizontal="center"/>
    </xf>
    <xf numFmtId="173" fontId="5" fillId="27" borderId="0" xfId="1533" applyNumberFormat="1" applyFont="1" applyFill="1" applyBorder="1" applyAlignment="1" applyProtection="1">
      <alignment horizontal="center"/>
    </xf>
    <xf numFmtId="181" fontId="5" fillId="27" borderId="0" xfId="1533" applyNumberFormat="1" applyFont="1" applyFill="1" applyBorder="1" applyProtection="1"/>
    <xf numFmtId="181" fontId="5" fillId="27" borderId="0" xfId="1533" applyNumberFormat="1" applyFont="1" applyFill="1" applyBorder="1" applyAlignment="1" applyProtection="1">
      <alignment horizontal="center"/>
    </xf>
    <xf numFmtId="3" fontId="55" fillId="0" borderId="0" xfId="1528" applyNumberFormat="1" applyFont="1" applyFill="1" applyAlignment="1" applyProtection="1"/>
    <xf numFmtId="3" fontId="55" fillId="0" borderId="0" xfId="1528" applyNumberFormat="1" applyFont="1" applyFill="1" applyAlignment="1" applyProtection="1">
      <alignment horizontal="center" vertical="top" wrapText="1"/>
    </xf>
    <xf numFmtId="3" fontId="55" fillId="0" borderId="0" xfId="1528" applyNumberFormat="1" applyFont="1" applyFill="1" applyAlignment="1" applyProtection="1">
      <alignment wrapText="1"/>
    </xf>
    <xf numFmtId="3" fontId="55" fillId="0" borderId="0" xfId="1528" applyNumberFormat="1" applyFont="1" applyFill="1" applyAlignment="1" applyProtection="1">
      <alignment horizontal="left" vertical="top" wrapText="1"/>
    </xf>
    <xf numFmtId="3" fontId="55" fillId="0" borderId="0" xfId="1528" applyNumberFormat="1" applyFont="1" applyFill="1" applyAlignment="1" applyProtection="1">
      <alignment horizontal="left" wrapText="1"/>
    </xf>
    <xf numFmtId="41" fontId="9" fillId="27" borderId="0" xfId="879" applyNumberFormat="1" applyFont="1" applyFill="1" applyProtection="1"/>
    <xf numFmtId="0" fontId="18" fillId="0" borderId="0" xfId="878" applyFont="1" applyFill="1" applyAlignment="1">
      <alignment horizontal="center" wrapText="1"/>
    </xf>
    <xf numFmtId="173" fontId="5" fillId="0" borderId="0" xfId="198" applyNumberFormat="1" applyFont="1" applyFill="1" applyBorder="1" applyAlignment="1"/>
    <xf numFmtId="0" fontId="5" fillId="0" borderId="67" xfId="1173" applyFont="1" applyBorder="1" applyAlignment="1">
      <alignment horizontal="left"/>
    </xf>
    <xf numFmtId="173" fontId="5" fillId="0" borderId="15" xfId="1619" applyNumberFormat="1" applyFont="1" applyBorder="1"/>
    <xf numFmtId="173" fontId="5" fillId="0" borderId="67" xfId="1619" applyNumberFormat="1" applyFont="1" applyBorder="1"/>
    <xf numFmtId="173" fontId="5" fillId="0" borderId="66" xfId="1619" applyNumberFormat="1" applyFont="1" applyBorder="1"/>
    <xf numFmtId="0" fontId="5" fillId="0" borderId="69" xfId="1173" applyFont="1" applyBorder="1" applyAlignment="1">
      <alignment horizontal="left"/>
    </xf>
    <xf numFmtId="173" fontId="5" fillId="0" borderId="66" xfId="1175" applyNumberFormat="1" applyFont="1" applyBorder="1"/>
    <xf numFmtId="173" fontId="5" fillId="0" borderId="15" xfId="1175" applyNumberFormat="1" applyFont="1" applyBorder="1"/>
    <xf numFmtId="173" fontId="5" fillId="0" borderId="66" xfId="1201" applyNumberFormat="1" applyFont="1" applyBorder="1"/>
    <xf numFmtId="173" fontId="5" fillId="0" borderId="15" xfId="1201" applyNumberFormat="1" applyFont="1" applyBorder="1"/>
    <xf numFmtId="173" fontId="5" fillId="0" borderId="67" xfId="1201" applyNumberFormat="1" applyFont="1" applyBorder="1"/>
    <xf numFmtId="37" fontId="85" fillId="27" borderId="0" xfId="0" applyNumberFormat="1" applyFont="1" applyFill="1"/>
    <xf numFmtId="173" fontId="85" fillId="27" borderId="0" xfId="1201" applyNumberFormat="1" applyFont="1" applyFill="1" applyBorder="1"/>
    <xf numFmtId="0" fontId="18" fillId="0" borderId="0" xfId="1409" applyFont="1" applyFill="1" applyBorder="1" applyAlignment="1">
      <alignment horizontal="center" wrapText="1"/>
    </xf>
    <xf numFmtId="37" fontId="157" fillId="27" borderId="0" xfId="0" applyNumberFormat="1" applyFont="1" applyFill="1"/>
    <xf numFmtId="1" fontId="21" fillId="0" borderId="0" xfId="0" applyNumberFormat="1" applyFont="1" applyFill="1"/>
    <xf numFmtId="1" fontId="21" fillId="67" borderId="0" xfId="0" applyNumberFormat="1" applyFont="1" applyFill="1"/>
    <xf numFmtId="1" fontId="21" fillId="67" borderId="0" xfId="0" applyNumberFormat="1" applyFont="1" applyFill="1" applyAlignment="1">
      <alignment horizontal="right"/>
    </xf>
    <xf numFmtId="1" fontId="21" fillId="67" borderId="0" xfId="0" quotePrefix="1" applyNumberFormat="1" applyFont="1" applyFill="1" applyAlignment="1">
      <alignment horizontal="center"/>
    </xf>
    <xf numFmtId="1" fontId="21" fillId="0" borderId="0" xfId="0" applyNumberFormat="1" applyFont="1"/>
    <xf numFmtId="1" fontId="21" fillId="0" borderId="0" xfId="0" applyNumberFormat="1" applyFont="1" applyAlignment="1">
      <alignment horizontal="center"/>
    </xf>
    <xf numFmtId="1" fontId="21" fillId="67" borderId="0" xfId="0" quotePrefix="1" applyNumberFormat="1" applyFont="1" applyFill="1" applyAlignment="1">
      <alignment horizontal="center" vertical="top"/>
    </xf>
    <xf numFmtId="1" fontId="21" fillId="0" borderId="0" xfId="0" applyNumberFormat="1" applyFont="1" applyFill="1" applyAlignment="1">
      <alignment horizontal="center"/>
    </xf>
    <xf numFmtId="1" fontId="21" fillId="66" borderId="0" xfId="0" applyNumberFormat="1" applyFont="1" applyFill="1"/>
    <xf numFmtId="10" fontId="85" fillId="27" borderId="0" xfId="899" applyNumberFormat="1" applyFont="1" applyFill="1" applyBorder="1" applyAlignment="1">
      <alignment horizontal="right"/>
    </xf>
    <xf numFmtId="0" fontId="8" fillId="0" borderId="0" xfId="1172" applyFont="1" applyFill="1" applyBorder="1" applyAlignment="1" applyProtection="1">
      <alignment horizontal="center"/>
    </xf>
    <xf numFmtId="173" fontId="210" fillId="27" borderId="0" xfId="1201" applyNumberFormat="1" applyFont="1" applyFill="1" applyBorder="1" applyProtection="1"/>
    <xf numFmtId="173" fontId="210" fillId="27" borderId="0" xfId="0" applyNumberFormat="1" applyFont="1" applyFill="1" applyBorder="1" applyProtection="1"/>
    <xf numFmtId="37" fontId="85" fillId="27" borderId="0" xfId="275" applyNumberFormat="1" applyFont="1" applyFill="1" applyBorder="1" applyProtection="1"/>
    <xf numFmtId="37" fontId="5" fillId="0" borderId="0" xfId="275" applyNumberFormat="1" applyFont="1" applyFill="1" applyProtection="1"/>
    <xf numFmtId="172" fontId="8" fillId="0" borderId="0" xfId="881" applyFont="1" applyFill="1" applyAlignment="1"/>
    <xf numFmtId="43" fontId="8" fillId="0" borderId="0" xfId="881" applyNumberFormat="1" applyFont="1" applyFill="1" applyAlignment="1" applyProtection="1"/>
    <xf numFmtId="0" fontId="10" fillId="0" borderId="40" xfId="0" applyFont="1" applyBorder="1" applyAlignment="1" applyProtection="1">
      <alignment horizontal="center"/>
    </xf>
    <xf numFmtId="0" fontId="21" fillId="67" borderId="0" xfId="0" applyFont="1" applyFill="1" applyAlignment="1">
      <alignment vertical="top" wrapText="1"/>
    </xf>
    <xf numFmtId="0" fontId="8" fillId="0" borderId="0" xfId="1528" applyFont="1" applyFill="1" applyAlignment="1" applyProtection="1">
      <alignment horizontal="left" vertical="top" wrapText="1"/>
    </xf>
    <xf numFmtId="0" fontId="8" fillId="0" borderId="0" xfId="760" applyFont="1" applyFill="1" applyAlignment="1" applyProtection="1">
      <alignment horizontal="left" vertical="top" wrapText="1"/>
    </xf>
    <xf numFmtId="172" fontId="65" fillId="0" borderId="0" xfId="881" applyFont="1" applyFill="1" applyAlignment="1" applyProtection="1">
      <alignment horizontal="left" wrapText="1"/>
    </xf>
    <xf numFmtId="0" fontId="11" fillId="0" borderId="0" xfId="881" applyNumberFormat="1" applyFont="1" applyFill="1" applyAlignment="1" applyProtection="1">
      <alignment horizontal="center"/>
    </xf>
    <xf numFmtId="0" fontId="14" fillId="0" borderId="0" xfId="0" applyFont="1" applyFill="1" applyAlignment="1" applyProtection="1"/>
    <xf numFmtId="49" fontId="8" fillId="0" borderId="0" xfId="881" applyNumberFormat="1" applyFont="1" applyFill="1" applyAlignment="1" applyProtection="1">
      <alignment horizontal="center"/>
    </xf>
    <xf numFmtId="0" fontId="5" fillId="0" borderId="0" xfId="0" applyFont="1" applyFill="1" applyAlignment="1" applyProtection="1">
      <alignment horizontal="center"/>
    </xf>
    <xf numFmtId="0" fontId="8" fillId="0" borderId="0" xfId="881" applyNumberFormat="1" applyFont="1" applyFill="1" applyAlignment="1" applyProtection="1">
      <alignment horizontal="left" vertical="top" wrapText="1"/>
    </xf>
    <xf numFmtId="0" fontId="8" fillId="0" borderId="0" xfId="0" applyFont="1" applyAlignment="1" applyProtection="1">
      <alignment horizontal="left" vertical="top" wrapText="1"/>
    </xf>
    <xf numFmtId="0" fontId="8" fillId="0" borderId="0" xfId="881" applyNumberFormat="1" applyFont="1" applyFill="1" applyAlignment="1" applyProtection="1">
      <alignment horizontal="left" vertical="center" wrapText="1"/>
    </xf>
    <xf numFmtId="0" fontId="8" fillId="0" borderId="0" xfId="881" applyNumberFormat="1" applyFont="1" applyFill="1" applyAlignment="1" applyProtection="1">
      <alignment horizontal="left" wrapText="1"/>
    </xf>
    <xf numFmtId="0" fontId="8" fillId="0" borderId="0" xfId="0" applyNumberFormat="1" applyFont="1" applyFill="1" applyAlignment="1" applyProtection="1">
      <alignment wrapText="1"/>
    </xf>
    <xf numFmtId="0" fontId="8" fillId="0" borderId="0" xfId="0" applyFont="1" applyFill="1" applyAlignment="1" applyProtection="1">
      <alignment wrapText="1"/>
    </xf>
    <xf numFmtId="172" fontId="8" fillId="0" borderId="0" xfId="881" applyFont="1" applyFill="1" applyAlignment="1" applyProtection="1">
      <alignment wrapText="1"/>
    </xf>
    <xf numFmtId="37" fontId="10" fillId="0" borderId="0" xfId="1123" applyNumberFormat="1" applyFont="1" applyBorder="1" applyAlignment="1" applyProtection="1">
      <alignment horizontal="center"/>
    </xf>
    <xf numFmtId="0" fontId="10" fillId="0" borderId="2" xfId="1123" applyFont="1" applyBorder="1" applyAlignment="1" applyProtection="1">
      <alignment horizontal="center"/>
    </xf>
    <xf numFmtId="0" fontId="8" fillId="0" borderId="0" xfId="791" applyFont="1" applyFill="1" applyBorder="1" applyAlignment="1" applyProtection="1">
      <alignment horizontal="center"/>
    </xf>
    <xf numFmtId="0" fontId="9" fillId="0" borderId="0" xfId="791" applyFont="1" applyFill="1" applyBorder="1" applyAlignment="1" applyProtection="1">
      <alignment horizontal="center"/>
    </xf>
    <xf numFmtId="3" fontId="9" fillId="0" borderId="0" xfId="791" applyNumberFormat="1" applyFont="1" applyFill="1" applyBorder="1" applyAlignment="1" applyProtection="1">
      <alignment horizontal="center"/>
    </xf>
    <xf numFmtId="0" fontId="10" fillId="0" borderId="64" xfId="1123" applyFont="1" applyBorder="1" applyAlignment="1" applyProtection="1">
      <alignment horizontal="center" wrapText="1"/>
    </xf>
    <xf numFmtId="0" fontId="10" fillId="0" borderId="14" xfId="1123" applyFont="1" applyBorder="1" applyAlignment="1" applyProtection="1">
      <alignment horizontal="center" wrapText="1"/>
    </xf>
    <xf numFmtId="0" fontId="10" fillId="0" borderId="65" xfId="1123" applyFont="1" applyBorder="1" applyAlignment="1" applyProtection="1">
      <alignment horizontal="center" wrapText="1"/>
    </xf>
    <xf numFmtId="0" fontId="8" fillId="0" borderId="0" xfId="0" applyFont="1" applyFill="1" applyAlignment="1" applyProtection="1">
      <alignment horizontal="center"/>
    </xf>
    <xf numFmtId="3" fontId="9" fillId="0" borderId="0" xfId="198" applyNumberFormat="1" applyFont="1" applyFill="1" applyAlignment="1" applyProtection="1">
      <alignment horizontal="center"/>
    </xf>
    <xf numFmtId="0" fontId="55" fillId="0" borderId="0" xfId="0" applyFont="1" applyAlignment="1" applyProtection="1">
      <alignment horizontal="left" vertical="top" wrapText="1"/>
    </xf>
    <xf numFmtId="0" fontId="14" fillId="0" borderId="0" xfId="878" applyFont="1" applyFill="1" applyAlignment="1" applyProtection="1">
      <alignment horizontal="center" wrapText="1"/>
    </xf>
    <xf numFmtId="0" fontId="13" fillId="0" borderId="0" xfId="0" applyFont="1" applyFill="1" applyAlignment="1" applyProtection="1">
      <alignment wrapText="1"/>
    </xf>
    <xf numFmtId="0" fontId="19" fillId="0" borderId="0" xfId="0" applyFont="1" applyFill="1" applyAlignment="1" applyProtection="1">
      <alignment horizontal="center"/>
    </xf>
    <xf numFmtId="0" fontId="19" fillId="0" borderId="0" xfId="791" applyFont="1" applyFill="1" applyBorder="1" applyAlignment="1" applyProtection="1">
      <alignment horizontal="center"/>
    </xf>
    <xf numFmtId="3" fontId="7" fillId="0" borderId="0" xfId="0" applyNumberFormat="1" applyFont="1" applyFill="1" applyAlignment="1" applyProtection="1">
      <alignment horizontal="center"/>
    </xf>
    <xf numFmtId="0" fontId="19" fillId="0" borderId="0" xfId="0" applyFont="1" applyFill="1" applyAlignment="1" applyProtection="1">
      <alignment horizontal="center" wrapText="1"/>
    </xf>
    <xf numFmtId="0" fontId="13" fillId="0" borderId="0" xfId="0" applyFont="1" applyFill="1" applyAlignment="1" applyProtection="1">
      <alignment horizontal="left" wrapText="1"/>
    </xf>
    <xf numFmtId="0" fontId="14" fillId="0" borderId="0" xfId="0" applyFont="1" applyFill="1" applyAlignment="1" applyProtection="1">
      <alignment horizontal="center"/>
    </xf>
    <xf numFmtId="0" fontId="7" fillId="0" borderId="0" xfId="0" applyFont="1" applyFill="1" applyAlignment="1" applyProtection="1">
      <alignment horizontal="center" wrapText="1"/>
    </xf>
    <xf numFmtId="0" fontId="7" fillId="0" borderId="0" xfId="0" applyFont="1" applyFill="1" applyAlignment="1" applyProtection="1">
      <alignment horizontal="center"/>
    </xf>
    <xf numFmtId="3" fontId="5" fillId="0" borderId="0" xfId="798" applyFont="1" applyFill="1" applyBorder="1" applyAlignment="1" applyProtection="1">
      <alignment horizontal="left" vertical="top" wrapText="1"/>
    </xf>
    <xf numFmtId="3" fontId="13" fillId="0" borderId="11" xfId="798" applyFont="1" applyFill="1" applyBorder="1" applyAlignment="1" applyProtection="1">
      <alignment horizontal="center" wrapText="1"/>
    </xf>
    <xf numFmtId="3" fontId="19" fillId="0" borderId="0" xfId="791" applyNumberFormat="1" applyFont="1" applyFill="1" applyBorder="1" applyAlignment="1" applyProtection="1">
      <alignment horizontal="center"/>
    </xf>
    <xf numFmtId="3" fontId="81" fillId="0" borderId="0" xfId="798" applyFont="1" applyFill="1" applyBorder="1" applyAlignment="1" applyProtection="1">
      <alignment horizontal="left" wrapText="1"/>
    </xf>
    <xf numFmtId="3" fontId="13" fillId="0" borderId="0" xfId="798" applyFont="1" applyFill="1" applyBorder="1" applyAlignment="1" applyProtection="1">
      <alignment horizontal="left" wrapText="1"/>
    </xf>
    <xf numFmtId="173" fontId="190" fillId="0" borderId="11" xfId="198" applyNumberFormat="1" applyFont="1" applyBorder="1" applyAlignment="1" applyProtection="1">
      <alignment horizontal="center"/>
    </xf>
    <xf numFmtId="173" fontId="190" fillId="0" borderId="0" xfId="198" applyNumberFormat="1" applyFont="1" applyAlignment="1" applyProtection="1">
      <alignment horizontal="left" wrapText="1"/>
    </xf>
    <xf numFmtId="173" fontId="191" fillId="0" borderId="0" xfId="198" applyNumberFormat="1" applyFont="1" applyFill="1" applyAlignment="1" applyProtection="1">
      <alignment horizontal="center"/>
    </xf>
    <xf numFmtId="173" fontId="191" fillId="0" borderId="0" xfId="198" applyNumberFormat="1" applyFont="1" applyFill="1" applyBorder="1" applyAlignment="1" applyProtection="1">
      <alignment horizontal="center"/>
    </xf>
    <xf numFmtId="173" fontId="192" fillId="0" borderId="0" xfId="198" applyNumberFormat="1" applyFont="1" applyFill="1" applyBorder="1" applyAlignment="1" applyProtection="1">
      <alignment horizontal="center"/>
    </xf>
    <xf numFmtId="173" fontId="192" fillId="0" borderId="0" xfId="198" applyNumberFormat="1" applyFont="1" applyFill="1" applyAlignment="1" applyProtection="1">
      <alignment horizontal="center"/>
    </xf>
    <xf numFmtId="173" fontId="190" fillId="0" borderId="11" xfId="198" applyNumberFormat="1" applyFont="1" applyBorder="1" applyAlignment="1" applyProtection="1">
      <alignment horizontal="center" wrapText="1"/>
    </xf>
    <xf numFmtId="0" fontId="18" fillId="0" borderId="0" xfId="878" applyFont="1" applyFill="1" applyBorder="1" applyAlignment="1">
      <alignment horizontal="center" wrapText="1"/>
    </xf>
    <xf numFmtId="0" fontId="14" fillId="0" borderId="0" xfId="0" applyFont="1" applyFill="1" applyBorder="1" applyAlignment="1">
      <alignment horizontal="center" wrapText="1"/>
    </xf>
    <xf numFmtId="0" fontId="5" fillId="0" borderId="0" xfId="878" applyFont="1" applyFill="1" applyAlignment="1" applyProtection="1">
      <alignment horizontal="left" vertical="top" wrapText="1"/>
    </xf>
    <xf numFmtId="0" fontId="66" fillId="0" borderId="0" xfId="878" applyFont="1" applyFill="1" applyAlignment="1" applyProtection="1">
      <alignment horizontal="center"/>
    </xf>
    <xf numFmtId="3" fontId="9" fillId="0" borderId="0" xfId="0" applyNumberFormat="1" applyFont="1" applyFill="1" applyAlignment="1" applyProtection="1">
      <alignment horizontal="center"/>
    </xf>
    <xf numFmtId="0" fontId="66" fillId="0" borderId="0" xfId="791" applyNumberFormat="1" applyFont="1" applyFill="1" applyBorder="1" applyAlignment="1" applyProtection="1">
      <alignment horizontal="center"/>
    </xf>
    <xf numFmtId="0" fontId="10" fillId="0" borderId="11" xfId="791" applyFont="1" applyFill="1" applyBorder="1" applyAlignment="1" applyProtection="1">
      <alignment horizontal="center" wrapText="1"/>
    </xf>
    <xf numFmtId="172" fontId="19" fillId="0" borderId="43" xfId="881" applyFont="1" applyFill="1" applyBorder="1" applyAlignment="1" applyProtection="1">
      <alignment horizontal="left" wrapText="1"/>
    </xf>
    <xf numFmtId="172" fontId="19" fillId="0" borderId="17" xfId="881" applyFont="1" applyFill="1" applyBorder="1" applyAlignment="1" applyProtection="1">
      <alignment horizontal="left" wrapText="1"/>
    </xf>
    <xf numFmtId="172" fontId="19" fillId="0" borderId="21" xfId="881" applyFont="1" applyFill="1" applyBorder="1" applyAlignment="1" applyProtection="1">
      <alignment horizontal="left" wrapText="1"/>
    </xf>
    <xf numFmtId="172" fontId="19" fillId="0" borderId="19" xfId="881" applyFont="1" applyFill="1" applyBorder="1" applyAlignment="1" applyProtection="1">
      <alignment horizontal="left" wrapText="1"/>
    </xf>
    <xf numFmtId="172" fontId="19" fillId="0" borderId="0" xfId="881" applyFont="1" applyFill="1" applyBorder="1" applyAlignment="1" applyProtection="1">
      <alignment horizontal="left" wrapText="1"/>
    </xf>
    <xf numFmtId="172" fontId="19" fillId="0" borderId="20" xfId="881" applyFont="1" applyFill="1" applyBorder="1" applyAlignment="1" applyProtection="1">
      <alignment horizontal="left" wrapText="1"/>
    </xf>
    <xf numFmtId="0" fontId="7" fillId="0" borderId="0" xfId="0" applyFont="1" applyFill="1" applyAlignment="1" applyProtection="1">
      <alignment wrapText="1"/>
    </xf>
    <xf numFmtId="172" fontId="8" fillId="0" borderId="43" xfId="881" applyFont="1" applyFill="1" applyBorder="1" applyAlignment="1" applyProtection="1">
      <alignment horizontal="left" wrapText="1"/>
    </xf>
    <xf numFmtId="172" fontId="8" fillId="0" borderId="17" xfId="881" applyFont="1" applyFill="1" applyBorder="1" applyAlignment="1" applyProtection="1">
      <alignment horizontal="left" wrapText="1"/>
    </xf>
    <xf numFmtId="172" fontId="8" fillId="0" borderId="21" xfId="881" applyFont="1" applyFill="1" applyBorder="1" applyAlignment="1" applyProtection="1">
      <alignment horizontal="left" wrapText="1"/>
    </xf>
    <xf numFmtId="172" fontId="8" fillId="0" borderId="19" xfId="881" applyFont="1" applyFill="1" applyBorder="1" applyAlignment="1" applyProtection="1">
      <alignment horizontal="left" wrapText="1"/>
    </xf>
    <xf numFmtId="172" fontId="8" fillId="0" borderId="0" xfId="881" applyFont="1" applyFill="1" applyBorder="1" applyAlignment="1" applyProtection="1">
      <alignment horizontal="left" wrapText="1"/>
    </xf>
    <xf numFmtId="172" fontId="8" fillId="0" borderId="20" xfId="881" applyFont="1" applyFill="1" applyBorder="1" applyAlignment="1" applyProtection="1">
      <alignment horizontal="left" wrapText="1"/>
    </xf>
    <xf numFmtId="3" fontId="8" fillId="0" borderId="0" xfId="791" applyNumberFormat="1" applyFont="1" applyFill="1" applyBorder="1" applyAlignment="1" applyProtection="1">
      <alignment horizontal="center"/>
    </xf>
    <xf numFmtId="0" fontId="110" fillId="0" borderId="0" xfId="883" applyFont="1" applyFill="1" applyAlignment="1" applyProtection="1">
      <alignment horizontal="left" vertical="top" wrapText="1"/>
    </xf>
    <xf numFmtId="0" fontId="18" fillId="0" borderId="11" xfId="0" applyFont="1" applyFill="1" applyBorder="1" applyAlignment="1" applyProtection="1">
      <alignment horizontal="center"/>
    </xf>
    <xf numFmtId="0" fontId="10" fillId="0" borderId="0" xfId="0" applyFont="1" applyFill="1" applyAlignment="1" applyProtection="1">
      <alignment horizontal="center" wrapText="1"/>
    </xf>
    <xf numFmtId="3" fontId="55" fillId="0" borderId="0" xfId="760" applyNumberFormat="1" applyFont="1" applyFill="1" applyAlignment="1" applyProtection="1">
      <alignment horizontal="left" wrapText="1"/>
    </xf>
    <xf numFmtId="0" fontId="120" fillId="0" borderId="0" xfId="878" applyFont="1" applyFill="1" applyAlignment="1" applyProtection="1">
      <alignment horizontal="left" wrapText="1"/>
    </xf>
    <xf numFmtId="0" fontId="8" fillId="0" borderId="0" xfId="791" applyFont="1" applyFill="1" applyBorder="1" applyAlignment="1" applyProtection="1">
      <alignment horizontal="center" vertical="center"/>
    </xf>
    <xf numFmtId="0" fontId="9" fillId="0" borderId="0" xfId="791" applyFont="1" applyFill="1" applyBorder="1" applyAlignment="1" applyProtection="1">
      <alignment horizontal="center" vertical="center"/>
    </xf>
    <xf numFmtId="0" fontId="15" fillId="0" borderId="11" xfId="0" applyFont="1" applyFill="1" applyBorder="1" applyAlignment="1" applyProtection="1">
      <alignment horizontal="center"/>
    </xf>
    <xf numFmtId="3" fontId="121" fillId="0" borderId="0" xfId="0" applyNumberFormat="1" applyFont="1" applyFill="1" applyAlignment="1" applyProtection="1">
      <alignment horizontal="center"/>
    </xf>
    <xf numFmtId="3" fontId="8" fillId="0" borderId="0" xfId="0" applyNumberFormat="1" applyFont="1" applyFill="1" applyAlignment="1" applyProtection="1">
      <alignment horizontal="center"/>
    </xf>
    <xf numFmtId="0" fontId="55" fillId="0" borderId="0" xfId="1172" applyFont="1" applyAlignment="1" applyProtection="1">
      <alignment horizontal="left" vertical="top" wrapText="1"/>
    </xf>
    <xf numFmtId="0" fontId="5" fillId="0" borderId="0" xfId="1177" applyFont="1" applyFill="1" applyAlignment="1" applyProtection="1">
      <alignment horizontal="left" wrapText="1"/>
    </xf>
    <xf numFmtId="0" fontId="5" fillId="0" borderId="0" xfId="1178" applyFont="1" applyFill="1" applyAlignment="1" applyProtection="1">
      <alignment wrapText="1"/>
    </xf>
    <xf numFmtId="0" fontId="164" fillId="0" borderId="0" xfId="1177" applyFont="1" applyFill="1" applyAlignment="1" applyProtection="1">
      <alignment horizontal="left" wrapText="1"/>
    </xf>
    <xf numFmtId="41" fontId="10" fillId="0" borderId="0" xfId="1177" applyNumberFormat="1" applyFont="1" applyFill="1" applyBorder="1" applyAlignment="1" applyProtection="1">
      <alignment horizontal="center" wrapText="1"/>
    </xf>
    <xf numFmtId="0" fontId="10" fillId="0" borderId="64" xfId="1173" applyFont="1" applyBorder="1" applyAlignment="1" applyProtection="1">
      <alignment horizontal="center" wrapText="1"/>
    </xf>
    <xf numFmtId="0" fontId="10" fillId="0" borderId="14" xfId="1173" applyFont="1" applyBorder="1" applyAlignment="1" applyProtection="1">
      <alignment horizontal="center" wrapText="1"/>
    </xf>
    <xf numFmtId="0" fontId="10" fillId="0" borderId="65" xfId="1173" applyFont="1" applyBorder="1" applyAlignment="1" applyProtection="1">
      <alignment horizontal="center" wrapText="1"/>
    </xf>
    <xf numFmtId="0" fontId="10" fillId="0" borderId="64" xfId="1172" applyFont="1" applyBorder="1" applyAlignment="1" applyProtection="1">
      <alignment horizontal="center"/>
    </xf>
    <xf numFmtId="0" fontId="10" fillId="0" borderId="14" xfId="1172" applyFont="1" applyBorder="1" applyAlignment="1" applyProtection="1">
      <alignment horizontal="center"/>
    </xf>
    <xf numFmtId="0" fontId="10" fillId="0" borderId="65" xfId="1172" applyFont="1" applyBorder="1" applyAlignment="1" applyProtection="1">
      <alignment horizontal="center"/>
    </xf>
    <xf numFmtId="0" fontId="196" fillId="0" borderId="0" xfId="0" applyFont="1" applyFill="1" applyBorder="1" applyAlignment="1" applyProtection="1">
      <alignment horizontal="left" wrapText="1"/>
    </xf>
    <xf numFmtId="0" fontId="65" fillId="0" borderId="0" xfId="0" applyFont="1" applyAlignment="1" applyProtection="1">
      <alignment horizontal="center"/>
    </xf>
    <xf numFmtId="0" fontId="9" fillId="0" borderId="0" xfId="0" applyFont="1" applyFill="1" applyAlignment="1" applyProtection="1">
      <alignment horizontal="center"/>
    </xf>
    <xf numFmtId="0" fontId="196" fillId="0" borderId="0" xfId="0" applyFont="1" applyFill="1" applyAlignment="1" applyProtection="1">
      <alignment horizontal="left" vertical="top" wrapText="1"/>
    </xf>
    <xf numFmtId="0" fontId="196" fillId="0" borderId="0" xfId="0" applyFont="1" applyFill="1" applyAlignment="1" applyProtection="1">
      <alignment horizontal="left" wrapText="1"/>
    </xf>
    <xf numFmtId="0" fontId="16" fillId="0" borderId="0" xfId="862" applyFont="1" applyFill="1" applyAlignment="1" applyProtection="1">
      <alignment horizontal="left" wrapText="1"/>
    </xf>
    <xf numFmtId="0" fontId="65" fillId="0" borderId="0" xfId="0" applyFont="1" applyAlignment="1" applyProtection="1">
      <alignment horizontal="center" wrapText="1"/>
    </xf>
    <xf numFmtId="0" fontId="9" fillId="0" borderId="0" xfId="0" applyFont="1" applyFill="1" applyAlignment="1" applyProtection="1">
      <alignment horizontal="center" wrapText="1"/>
    </xf>
    <xf numFmtId="3" fontId="9" fillId="0" borderId="0" xfId="0" applyNumberFormat="1" applyFont="1" applyAlignment="1" applyProtection="1">
      <alignment horizontal="center" wrapText="1"/>
    </xf>
    <xf numFmtId="0" fontId="16" fillId="0" borderId="0" xfId="862" quotePrefix="1" applyFont="1" applyBorder="1" applyAlignment="1" applyProtection="1">
      <alignment horizontal="left" wrapText="1"/>
    </xf>
    <xf numFmtId="0" fontId="55" fillId="0" borderId="0" xfId="760" applyFont="1" applyFill="1" applyAlignment="1" applyProtection="1">
      <alignment horizontal="left" wrapText="1"/>
    </xf>
    <xf numFmtId="0" fontId="18" fillId="0" borderId="0" xfId="791" quotePrefix="1" applyFont="1" applyFill="1" applyBorder="1" applyAlignment="1" applyProtection="1">
      <alignment horizontal="center" wrapText="1"/>
    </xf>
    <xf numFmtId="0" fontId="14" fillId="0" borderId="0" xfId="0" applyFont="1" applyFill="1" applyAlignment="1" applyProtection="1">
      <alignment horizontal="center" wrapText="1"/>
    </xf>
    <xf numFmtId="3" fontId="55" fillId="0" borderId="0" xfId="760" applyNumberFormat="1" applyFont="1" applyFill="1" applyAlignment="1" applyProtection="1">
      <alignment horizontal="left" vertical="top" wrapText="1"/>
    </xf>
    <xf numFmtId="0" fontId="8" fillId="0" borderId="0" xfId="799" applyFont="1" applyAlignment="1" applyProtection="1">
      <alignment horizontal="left" wrapText="1"/>
    </xf>
    <xf numFmtId="0" fontId="9" fillId="0" borderId="0" xfId="799" applyFont="1" applyAlignment="1" applyProtection="1">
      <alignment horizontal="center"/>
    </xf>
    <xf numFmtId="0" fontId="8" fillId="0" borderId="0" xfId="799" applyFont="1" applyFill="1" applyAlignment="1" applyProtection="1">
      <alignment horizontal="center"/>
    </xf>
    <xf numFmtId="0" fontId="8" fillId="0" borderId="0" xfId="1172" applyFont="1" applyFill="1" applyBorder="1" applyAlignment="1" applyProtection="1">
      <alignment horizontal="center"/>
    </xf>
    <xf numFmtId="0" fontId="9" fillId="0" borderId="0" xfId="1172" applyFont="1" applyFill="1" applyBorder="1" applyAlignment="1" applyProtection="1">
      <alignment horizontal="center"/>
    </xf>
    <xf numFmtId="3" fontId="9" fillId="0" borderId="0" xfId="799" applyNumberFormat="1" applyFont="1" applyFill="1" applyAlignment="1" applyProtection="1">
      <alignment horizontal="center"/>
    </xf>
    <xf numFmtId="0" fontId="9" fillId="0" borderId="0" xfId="799" applyFont="1" applyFill="1" applyAlignment="1" applyProtection="1">
      <alignment horizontal="center"/>
    </xf>
    <xf numFmtId="37" fontId="10" fillId="0" borderId="0" xfId="1173" applyNumberFormat="1" applyFont="1" applyBorder="1" applyAlignment="1" applyProtection="1">
      <alignment horizontal="center"/>
    </xf>
    <xf numFmtId="0" fontId="10" fillId="0" borderId="2" xfId="1173" applyFont="1" applyBorder="1" applyAlignment="1" applyProtection="1">
      <alignment horizontal="center"/>
    </xf>
    <xf numFmtId="0" fontId="8" fillId="0" borderId="0" xfId="1409" applyFont="1" applyFill="1" applyBorder="1" applyAlignment="1" applyProtection="1">
      <alignment horizontal="center"/>
    </xf>
    <xf numFmtId="0" fontId="9" fillId="0" borderId="0" xfId="1409" applyFont="1" applyFill="1" applyBorder="1" applyAlignment="1" applyProtection="1">
      <alignment horizontal="center"/>
    </xf>
    <xf numFmtId="3" fontId="9" fillId="0" borderId="0" xfId="1409" applyNumberFormat="1" applyFont="1" applyFill="1" applyBorder="1" applyAlignment="1" applyProtection="1">
      <alignment horizontal="center"/>
    </xf>
    <xf numFmtId="0" fontId="19" fillId="0" borderId="0" xfId="1409" applyFont="1" applyFill="1" applyBorder="1" applyAlignment="1" applyProtection="1">
      <alignment horizontal="center"/>
    </xf>
    <xf numFmtId="0" fontId="5" fillId="0" borderId="0" xfId="0" applyFont="1" applyFill="1" applyAlignment="1" applyProtection="1">
      <alignment wrapText="1"/>
    </xf>
    <xf numFmtId="0" fontId="5" fillId="0" borderId="0" xfId="0" applyFont="1" applyFill="1" applyAlignment="1" applyProtection="1">
      <alignment horizontal="left" wrapText="1"/>
    </xf>
    <xf numFmtId="3" fontId="5" fillId="0" borderId="11" xfId="1532" applyFont="1" applyFill="1" applyBorder="1" applyAlignment="1" applyProtection="1">
      <alignment horizontal="center" wrapText="1"/>
    </xf>
    <xf numFmtId="3" fontId="5" fillId="0" borderId="0" xfId="1532" applyFont="1" applyFill="1" applyBorder="1" applyAlignment="1" applyProtection="1">
      <alignment horizontal="left" vertical="top" wrapText="1"/>
    </xf>
    <xf numFmtId="3" fontId="19" fillId="0" borderId="0" xfId="1409" applyNumberFormat="1" applyFont="1" applyFill="1" applyBorder="1" applyAlignment="1" applyProtection="1">
      <alignment horizontal="center"/>
    </xf>
    <xf numFmtId="3" fontId="81" fillId="0" borderId="0" xfId="1532" applyFont="1" applyFill="1" applyBorder="1" applyAlignment="1" applyProtection="1">
      <alignment horizontal="left" wrapText="1"/>
    </xf>
    <xf numFmtId="3" fontId="5" fillId="0" borderId="0" xfId="1532" applyFont="1" applyFill="1" applyBorder="1" applyAlignment="1" applyProtection="1">
      <alignment horizontal="left" wrapText="1"/>
    </xf>
    <xf numFmtId="0" fontId="66" fillId="0" borderId="0" xfId="1409" applyNumberFormat="1" applyFont="1" applyFill="1" applyBorder="1" applyAlignment="1" applyProtection="1">
      <alignment horizontal="center"/>
    </xf>
    <xf numFmtId="0" fontId="10" fillId="0" borderId="11" xfId="1409" applyFont="1" applyFill="1" applyBorder="1" applyAlignment="1" applyProtection="1">
      <alignment horizontal="center" wrapText="1"/>
    </xf>
    <xf numFmtId="3" fontId="8" fillId="0" borderId="0" xfId="1409" applyNumberFormat="1" applyFont="1" applyFill="1" applyBorder="1" applyAlignment="1" applyProtection="1">
      <alignment horizontal="center"/>
    </xf>
    <xf numFmtId="3" fontId="55" fillId="0" borderId="0" xfId="1528" applyNumberFormat="1" applyFont="1" applyFill="1" applyAlignment="1" applyProtection="1">
      <alignment horizontal="left" wrapText="1"/>
    </xf>
    <xf numFmtId="0" fontId="8" fillId="0" borderId="0" xfId="1409" applyFont="1" applyFill="1" applyBorder="1" applyAlignment="1" applyProtection="1">
      <alignment horizontal="center" vertical="center"/>
    </xf>
    <xf numFmtId="0" fontId="9" fillId="0" borderId="0" xfId="1409" applyFont="1" applyFill="1" applyBorder="1" applyAlignment="1" applyProtection="1">
      <alignment horizontal="center" vertical="center"/>
    </xf>
    <xf numFmtId="0" fontId="16" fillId="0" borderId="0" xfId="1535" applyFont="1" applyFill="1" applyAlignment="1" applyProtection="1">
      <alignment horizontal="left" wrapText="1"/>
    </xf>
    <xf numFmtId="0" fontId="16" fillId="0" borderId="0" xfId="1535" quotePrefix="1" applyFont="1" applyBorder="1" applyAlignment="1" applyProtection="1">
      <alignment horizontal="left" wrapText="1"/>
    </xf>
    <xf numFmtId="0" fontId="55" fillId="0" borderId="0" xfId="1528" applyFont="1" applyFill="1" applyAlignment="1" applyProtection="1">
      <alignment horizontal="left" wrapText="1"/>
    </xf>
    <xf numFmtId="0" fontId="18" fillId="0" borderId="0" xfId="1409" quotePrefix="1" applyFont="1" applyFill="1" applyBorder="1" applyAlignment="1" applyProtection="1">
      <alignment horizontal="center" wrapText="1"/>
    </xf>
    <xf numFmtId="3" fontId="55" fillId="0" borderId="0" xfId="1528" applyNumberFormat="1" applyFont="1" applyFill="1" applyAlignment="1" applyProtection="1">
      <alignment horizontal="left" vertical="top" wrapText="1"/>
    </xf>
  </cellXfs>
  <cellStyles count="2169">
    <cellStyle name="20% - Accent1" xfId="1" builtinId="30" customBuiltin="1"/>
    <cellStyle name="20% - Accent1 2" xfId="2"/>
    <cellStyle name="20% - Accent1 2 2" xfId="3"/>
    <cellStyle name="20% - Accent1 2 2 2" xfId="1217"/>
    <cellStyle name="20% - Accent1 2 2 3" xfId="1216"/>
    <cellStyle name="20% - Accent1 2 3" xfId="4"/>
    <cellStyle name="20% - Accent1 2 3 2" xfId="1218"/>
    <cellStyle name="20% - Accent1 2 3 3" xfId="1538"/>
    <cellStyle name="20% - Accent1 2 4" xfId="5"/>
    <cellStyle name="20% - Accent1 2 5" xfId="6"/>
    <cellStyle name="20% - Accent1 2 6" xfId="1215"/>
    <cellStyle name="20% - Accent1 3" xfId="1219"/>
    <cellStyle name="20% - Accent1 3 2" xfId="1220"/>
    <cellStyle name="20% - Accent1 3 2 2" xfId="1221"/>
    <cellStyle name="20% - Accent1 3 3" xfId="1222"/>
    <cellStyle name="20% - Accent1 4" xfId="1223"/>
    <cellStyle name="20% - Accent1 5" xfId="1452"/>
    <cellStyle name="20% - Accent1 6" xfId="1187"/>
    <cellStyle name="20% - Accent1 6 2" xfId="2139"/>
    <cellStyle name="20% - Accent2" xfId="7" builtinId="34" customBuiltin="1"/>
    <cellStyle name="20% - Accent2 2" xfId="8"/>
    <cellStyle name="20% - Accent2 2 2" xfId="9"/>
    <cellStyle name="20% - Accent2 2 2 2" xfId="1224"/>
    <cellStyle name="20% - Accent2 2 3" xfId="10"/>
    <cellStyle name="20% - Accent2 2 3 2" xfId="1225"/>
    <cellStyle name="20% - Accent2 2 3 3" xfId="1539"/>
    <cellStyle name="20% - Accent2 2 4" xfId="11"/>
    <cellStyle name="20% - Accent2 2 5" xfId="12"/>
    <cellStyle name="20% - Accent2 3" xfId="1226"/>
    <cellStyle name="20% - Accent2 4" xfId="1453"/>
    <cellStyle name="20% - Accent2 5" xfId="1189"/>
    <cellStyle name="20% - Accent2 5 2" xfId="2141"/>
    <cellStyle name="20% - Accent3" xfId="13" builtinId="38" customBuiltin="1"/>
    <cellStyle name="20% - Accent3 2" xfId="14"/>
    <cellStyle name="20% - Accent3 2 2" xfId="15"/>
    <cellStyle name="20% - Accent3 2 2 2" xfId="1229"/>
    <cellStyle name="20% - Accent3 2 2 3" xfId="1228"/>
    <cellStyle name="20% - Accent3 2 3" xfId="16"/>
    <cellStyle name="20% - Accent3 2 3 2" xfId="1230"/>
    <cellStyle name="20% - Accent3 2 3 3" xfId="1540"/>
    <cellStyle name="20% - Accent3 2 4" xfId="17"/>
    <cellStyle name="20% - Accent3 2 5" xfId="18"/>
    <cellStyle name="20% - Accent3 2 6" xfId="1227"/>
    <cellStyle name="20% - Accent3 3" xfId="1231"/>
    <cellStyle name="20% - Accent3 3 2" xfId="1232"/>
    <cellStyle name="20% - Accent3 3 2 2" xfId="1233"/>
    <cellStyle name="20% - Accent3 3 3" xfId="1234"/>
    <cellStyle name="20% - Accent3 4" xfId="1235"/>
    <cellStyle name="20% - Accent3 5" xfId="1454"/>
    <cellStyle name="20% - Accent3 6" xfId="1191"/>
    <cellStyle name="20% - Accent3 6 2" xfId="2143"/>
    <cellStyle name="20% - Accent4" xfId="19" builtinId="42" customBuiltin="1"/>
    <cellStyle name="20% - Accent4 2" xfId="20"/>
    <cellStyle name="20% - Accent4 2 2" xfId="21"/>
    <cellStyle name="20% - Accent4 2 2 2" xfId="1238"/>
    <cellStyle name="20% - Accent4 2 2 3" xfId="1237"/>
    <cellStyle name="20% - Accent4 2 3" xfId="22"/>
    <cellStyle name="20% - Accent4 2 3 2" xfId="1239"/>
    <cellStyle name="20% - Accent4 2 3 3" xfId="1541"/>
    <cellStyle name="20% - Accent4 2 4" xfId="23"/>
    <cellStyle name="20% - Accent4 2 5" xfId="24"/>
    <cellStyle name="20% - Accent4 2 6" xfId="1236"/>
    <cellStyle name="20% - Accent4 3" xfId="1240"/>
    <cellStyle name="20% - Accent4 3 2" xfId="1241"/>
    <cellStyle name="20% - Accent4 3 2 2" xfId="1242"/>
    <cellStyle name="20% - Accent4 3 3" xfId="1243"/>
    <cellStyle name="20% - Accent4 4" xfId="1244"/>
    <cellStyle name="20% - Accent4 5" xfId="1455"/>
    <cellStyle name="20% - Accent4 6" xfId="1193"/>
    <cellStyle name="20% - Accent4 6 2" xfId="2145"/>
    <cellStyle name="20% - Accent5" xfId="25" builtinId="46" customBuiltin="1"/>
    <cellStyle name="20% - Accent5 2" xfId="26"/>
    <cellStyle name="20% - Accent5 2 2" xfId="27"/>
    <cellStyle name="20% - Accent5 2 2 2" xfId="1245"/>
    <cellStyle name="20% - Accent5 2 3" xfId="28"/>
    <cellStyle name="20% - Accent5 2 3 2" xfId="1246"/>
    <cellStyle name="20% - Accent5 2 3 3" xfId="1542"/>
    <cellStyle name="20% - Accent5 2 4" xfId="29"/>
    <cellStyle name="20% - Accent5 2 5" xfId="30"/>
    <cellStyle name="20% - Accent5 3" xfId="1247"/>
    <cellStyle name="20% - Accent5 4" xfId="1456"/>
    <cellStyle name="20% - Accent5 5" xfId="1195"/>
    <cellStyle name="20% - Accent5 5 2" xfId="2147"/>
    <cellStyle name="20% - Accent6" xfId="31" builtinId="50" customBuiltin="1"/>
    <cellStyle name="20% - Accent6 2" xfId="32"/>
    <cellStyle name="20% - Accent6 2 2" xfId="33"/>
    <cellStyle name="20% - Accent6 2 2 2" xfId="1248"/>
    <cellStyle name="20% - Accent6 2 3" xfId="34"/>
    <cellStyle name="20% - Accent6 2 3 2" xfId="1249"/>
    <cellStyle name="20% - Accent6 2 3 3" xfId="1543"/>
    <cellStyle name="20% - Accent6 2 4" xfId="35"/>
    <cellStyle name="20% - Accent6 2 5" xfId="36"/>
    <cellStyle name="20% - Accent6 3" xfId="1250"/>
    <cellStyle name="20% - Accent6 4" xfId="1457"/>
    <cellStyle name="20% - Accent6 5" xfId="1197"/>
    <cellStyle name="20% - Accent6 5 2" xfId="2149"/>
    <cellStyle name="40% - Accent1" xfId="37" builtinId="31" customBuiltin="1"/>
    <cellStyle name="40% - Accent1 2" xfId="38"/>
    <cellStyle name="40% - Accent1 2 2" xfId="39"/>
    <cellStyle name="40% - Accent1 2 2 2" xfId="1253"/>
    <cellStyle name="40% - Accent1 2 2 3" xfId="1252"/>
    <cellStyle name="40% - Accent1 2 3" xfId="40"/>
    <cellStyle name="40% - Accent1 2 3 2" xfId="1254"/>
    <cellStyle name="40% - Accent1 2 3 3" xfId="1544"/>
    <cellStyle name="40% - Accent1 2 4" xfId="41"/>
    <cellStyle name="40% - Accent1 2 5" xfId="42"/>
    <cellStyle name="40% - Accent1 2 6" xfId="1251"/>
    <cellStyle name="40% - Accent1 3" xfId="1255"/>
    <cellStyle name="40% - Accent1 3 2" xfId="1256"/>
    <cellStyle name="40% - Accent1 3 2 2" xfId="1257"/>
    <cellStyle name="40% - Accent1 3 3" xfId="1258"/>
    <cellStyle name="40% - Accent1 4" xfId="1259"/>
    <cellStyle name="40% - Accent1 5" xfId="1458"/>
    <cellStyle name="40% - Accent1 6" xfId="1188"/>
    <cellStyle name="40% - Accent1 6 2" xfId="2140"/>
    <cellStyle name="40% - Accent2" xfId="43" builtinId="35" customBuiltin="1"/>
    <cellStyle name="40% - Accent2 2" xfId="44"/>
    <cellStyle name="40% - Accent2 2 2" xfId="45"/>
    <cellStyle name="40% - Accent2 2 2 2" xfId="1260"/>
    <cellStyle name="40% - Accent2 2 3" xfId="46"/>
    <cellStyle name="40% - Accent2 2 3 2" xfId="1261"/>
    <cellStyle name="40% - Accent2 2 3 3" xfId="1545"/>
    <cellStyle name="40% - Accent2 2 4" xfId="47"/>
    <cellStyle name="40% - Accent2 2 5" xfId="48"/>
    <cellStyle name="40% - Accent2 3" xfId="1262"/>
    <cellStyle name="40% - Accent2 4" xfId="1459"/>
    <cellStyle name="40% - Accent2 5" xfId="1190"/>
    <cellStyle name="40% - Accent2 5 2" xfId="2142"/>
    <cellStyle name="40% - Accent3" xfId="49" builtinId="39" customBuiltin="1"/>
    <cellStyle name="40% - Accent3 2" xfId="50"/>
    <cellStyle name="40% - Accent3 2 2" xfId="51"/>
    <cellStyle name="40% - Accent3 2 2 2" xfId="1265"/>
    <cellStyle name="40% - Accent3 2 2 3" xfId="1264"/>
    <cellStyle name="40% - Accent3 2 3" xfId="52"/>
    <cellStyle name="40% - Accent3 2 3 2" xfId="1266"/>
    <cellStyle name="40% - Accent3 2 3 3" xfId="1546"/>
    <cellStyle name="40% - Accent3 2 4" xfId="53"/>
    <cellStyle name="40% - Accent3 2 5" xfId="54"/>
    <cellStyle name="40% - Accent3 2 6" xfId="1263"/>
    <cellStyle name="40% - Accent3 3" xfId="1267"/>
    <cellStyle name="40% - Accent3 3 2" xfId="1268"/>
    <cellStyle name="40% - Accent3 3 2 2" xfId="1269"/>
    <cellStyle name="40% - Accent3 3 3" xfId="1270"/>
    <cellStyle name="40% - Accent3 4" xfId="1271"/>
    <cellStyle name="40% - Accent3 5" xfId="1460"/>
    <cellStyle name="40% - Accent3 6" xfId="1192"/>
    <cellStyle name="40% - Accent3 6 2" xfId="2144"/>
    <cellStyle name="40% - Accent4" xfId="55" builtinId="43" customBuiltin="1"/>
    <cellStyle name="40% - Accent4 2" xfId="56"/>
    <cellStyle name="40% - Accent4 2 2" xfId="57"/>
    <cellStyle name="40% - Accent4 2 2 2" xfId="1274"/>
    <cellStyle name="40% - Accent4 2 2 3" xfId="1273"/>
    <cellStyle name="40% - Accent4 2 3" xfId="58"/>
    <cellStyle name="40% - Accent4 2 3 2" xfId="1275"/>
    <cellStyle name="40% - Accent4 2 3 3" xfId="1547"/>
    <cellStyle name="40% - Accent4 2 4" xfId="59"/>
    <cellStyle name="40% - Accent4 2 5" xfId="60"/>
    <cellStyle name="40% - Accent4 2 6" xfId="1272"/>
    <cellStyle name="40% - Accent4 3" xfId="1276"/>
    <cellStyle name="40% - Accent4 3 2" xfId="1277"/>
    <cellStyle name="40% - Accent4 3 2 2" xfId="1278"/>
    <cellStyle name="40% - Accent4 3 3" xfId="1279"/>
    <cellStyle name="40% - Accent4 4" xfId="1280"/>
    <cellStyle name="40% - Accent4 5" xfId="1461"/>
    <cellStyle name="40% - Accent4 6" xfId="1194"/>
    <cellStyle name="40% - Accent4 6 2" xfId="2146"/>
    <cellStyle name="40% - Accent5" xfId="61" builtinId="47" customBuiltin="1"/>
    <cellStyle name="40% - Accent5 2" xfId="62"/>
    <cellStyle name="40% - Accent5 2 2" xfId="63"/>
    <cellStyle name="40% - Accent5 2 2 2" xfId="1281"/>
    <cellStyle name="40% - Accent5 2 3" xfId="64"/>
    <cellStyle name="40% - Accent5 2 3 2" xfId="1282"/>
    <cellStyle name="40% - Accent5 2 3 3" xfId="1548"/>
    <cellStyle name="40% - Accent5 2 4" xfId="65"/>
    <cellStyle name="40% - Accent5 2 5" xfId="66"/>
    <cellStyle name="40% - Accent5 3" xfId="1283"/>
    <cellStyle name="40% - Accent5 4" xfId="1462"/>
    <cellStyle name="40% - Accent5 5" xfId="1196"/>
    <cellStyle name="40% - Accent5 5 2" xfId="2148"/>
    <cellStyle name="40% - Accent6" xfId="67" builtinId="51" customBuiltin="1"/>
    <cellStyle name="40% - Accent6 2" xfId="68"/>
    <cellStyle name="40% - Accent6 2 2" xfId="69"/>
    <cellStyle name="40% - Accent6 2 2 2" xfId="1286"/>
    <cellStyle name="40% - Accent6 2 2 3" xfId="1285"/>
    <cellStyle name="40% - Accent6 2 3" xfId="70"/>
    <cellStyle name="40% - Accent6 2 3 2" xfId="1287"/>
    <cellStyle name="40% - Accent6 2 3 3" xfId="1549"/>
    <cellStyle name="40% - Accent6 2 4" xfId="71"/>
    <cellStyle name="40% - Accent6 2 5" xfId="72"/>
    <cellStyle name="40% - Accent6 2 6" xfId="1284"/>
    <cellStyle name="40% - Accent6 3" xfId="1288"/>
    <cellStyle name="40% - Accent6 3 2" xfId="1289"/>
    <cellStyle name="40% - Accent6 3 2 2" xfId="1290"/>
    <cellStyle name="40% - Accent6 3 3" xfId="1291"/>
    <cellStyle name="40% - Accent6 4" xfId="1292"/>
    <cellStyle name="40% - Accent6 5" xfId="1463"/>
    <cellStyle name="40% - Accent6 6" xfId="1198"/>
    <cellStyle name="40% - Accent6 6 2" xfId="2150"/>
    <cellStyle name="60% - Accent1" xfId="73" builtinId="32" customBuiltin="1"/>
    <cellStyle name="60% - Accent1 2" xfId="74"/>
    <cellStyle name="60% - Accent1 2 2" xfId="75"/>
    <cellStyle name="60% - Accent1 2 3" xfId="76"/>
    <cellStyle name="60% - Accent1 2 4" xfId="77"/>
    <cellStyle name="60% - Accent1 2 5" xfId="78"/>
    <cellStyle name="60% - Accent1 2 6" xfId="1293"/>
    <cellStyle name="60% - Accent1 3" xfId="1294"/>
    <cellStyle name="60% - Accent1 4" xfId="1295"/>
    <cellStyle name="60% - Accent1 5" xfId="1507"/>
    <cellStyle name="60% - Accent2" xfId="79" builtinId="36" customBuiltin="1"/>
    <cellStyle name="60% - Accent2 2" xfId="80"/>
    <cellStyle name="60% - Accent2 2 2" xfId="81"/>
    <cellStyle name="60% - Accent2 2 3" xfId="82"/>
    <cellStyle name="60% - Accent2 2 4" xfId="83"/>
    <cellStyle name="60% - Accent2 2 5" xfId="84"/>
    <cellStyle name="60% - Accent2 3" xfId="1296"/>
    <cellStyle name="60% - Accent2 4" xfId="1464"/>
    <cellStyle name="60% - Accent3" xfId="85" builtinId="40" customBuiltin="1"/>
    <cellStyle name="60% - Accent3 2" xfId="86"/>
    <cellStyle name="60% - Accent3 2 2" xfId="87"/>
    <cellStyle name="60% - Accent3 2 3" xfId="88"/>
    <cellStyle name="60% - Accent3 2 4" xfId="89"/>
    <cellStyle name="60% - Accent3 2 5" xfId="90"/>
    <cellStyle name="60% - Accent3 2 6" xfId="1297"/>
    <cellStyle name="60% - Accent3 3" xfId="1298"/>
    <cellStyle name="60% - Accent3 4" xfId="1299"/>
    <cellStyle name="60% - Accent3 5" xfId="1465"/>
    <cellStyle name="60% - Accent4" xfId="91" builtinId="44" customBuiltin="1"/>
    <cellStyle name="60% - Accent4 2" xfId="92"/>
    <cellStyle name="60% - Accent4 2 2" xfId="93"/>
    <cellStyle name="60% - Accent4 2 3" xfId="94"/>
    <cellStyle name="60% - Accent4 2 4" xfId="95"/>
    <cellStyle name="60% - Accent4 2 5" xfId="96"/>
    <cellStyle name="60% - Accent4 2 6" xfId="1300"/>
    <cellStyle name="60% - Accent4 3" xfId="1301"/>
    <cellStyle name="60% - Accent4 4" xfId="1302"/>
    <cellStyle name="60% - Accent4 5" xfId="1466"/>
    <cellStyle name="60% - Accent5" xfId="97" builtinId="48" customBuiltin="1"/>
    <cellStyle name="60% - Accent5 2" xfId="98"/>
    <cellStyle name="60% - Accent5 2 2" xfId="99"/>
    <cellStyle name="60% - Accent5 2 3" xfId="100"/>
    <cellStyle name="60% - Accent5 2 4" xfId="101"/>
    <cellStyle name="60% - Accent5 2 5" xfId="102"/>
    <cellStyle name="60% - Accent5 3" xfId="1303"/>
    <cellStyle name="60% - Accent5 4" xfId="1467"/>
    <cellStyle name="60% - Accent6" xfId="103" builtinId="52" customBuiltin="1"/>
    <cellStyle name="60% - Accent6 2" xfId="104"/>
    <cellStyle name="60% - Accent6 2 2" xfId="105"/>
    <cellStyle name="60% - Accent6 2 3" xfId="106"/>
    <cellStyle name="60% - Accent6 2 4" xfId="107"/>
    <cellStyle name="60% - Accent6 2 5" xfId="108"/>
    <cellStyle name="60% - Accent6 2 6" xfId="1304"/>
    <cellStyle name="60% - Accent6 3" xfId="1305"/>
    <cellStyle name="60% - Accent6 4" xfId="1306"/>
    <cellStyle name="60% - Accent6 5" xfId="1468"/>
    <cellStyle name="Accent1" xfId="109" builtinId="29" customBuiltin="1"/>
    <cellStyle name="Accent1 2" xfId="110"/>
    <cellStyle name="Accent1 2 2" xfId="111"/>
    <cellStyle name="Accent1 2 3" xfId="112"/>
    <cellStyle name="Accent1 2 4" xfId="113"/>
    <cellStyle name="Accent1 2 5" xfId="114"/>
    <cellStyle name="Accent1 2 6" xfId="1307"/>
    <cellStyle name="Accent1 3" xfId="1308"/>
    <cellStyle name="Accent1 4" xfId="1309"/>
    <cellStyle name="Accent1 5" xfId="1469"/>
    <cellStyle name="Accent2" xfId="115" builtinId="33" customBuiltin="1"/>
    <cellStyle name="Accent2 2" xfId="116"/>
    <cellStyle name="Accent2 2 2" xfId="117"/>
    <cellStyle name="Accent2 2 3" xfId="118"/>
    <cellStyle name="Accent2 2 4" xfId="119"/>
    <cellStyle name="Accent2 2 5" xfId="120"/>
    <cellStyle name="Accent2 3" xfId="1310"/>
    <cellStyle name="Accent2 4" xfId="1470"/>
    <cellStyle name="Accent3" xfId="121" builtinId="37" customBuiltin="1"/>
    <cellStyle name="Accent3 2" xfId="122"/>
    <cellStyle name="Accent3 2 2" xfId="123"/>
    <cellStyle name="Accent3 2 3" xfId="124"/>
    <cellStyle name="Accent3 2 4" xfId="125"/>
    <cellStyle name="Accent3 2 5" xfId="126"/>
    <cellStyle name="Accent3 3" xfId="1311"/>
    <cellStyle name="Accent3 4" xfId="1471"/>
    <cellStyle name="Accent4" xfId="127" builtinId="41" customBuiltin="1"/>
    <cellStyle name="Accent4 2" xfId="128"/>
    <cellStyle name="Accent4 2 2" xfId="129"/>
    <cellStyle name="Accent4 2 3" xfId="130"/>
    <cellStyle name="Accent4 2 4" xfId="131"/>
    <cellStyle name="Accent4 2 5" xfId="132"/>
    <cellStyle name="Accent4 2 6" xfId="1312"/>
    <cellStyle name="Accent4 3" xfId="1313"/>
    <cellStyle name="Accent4 4" xfId="1314"/>
    <cellStyle name="Accent4 5" xfId="1472"/>
    <cellStyle name="Accent5" xfId="133" builtinId="45" customBuiltin="1"/>
    <cellStyle name="Accent5 2" xfId="134"/>
    <cellStyle name="Accent5 2 2" xfId="135"/>
    <cellStyle name="Accent5 2 3" xfId="136"/>
    <cellStyle name="Accent5 2 4" xfId="137"/>
    <cellStyle name="Accent5 2 5" xfId="138"/>
    <cellStyle name="Accent5 3" xfId="1315"/>
    <cellStyle name="Accent5 4" xfId="1473"/>
    <cellStyle name="Accent6" xfId="139" builtinId="49" customBuiltin="1"/>
    <cellStyle name="Accent6 2" xfId="140"/>
    <cellStyle name="Accent6 2 2" xfId="141"/>
    <cellStyle name="Accent6 2 3" xfId="142"/>
    <cellStyle name="Accent6 2 4" xfId="143"/>
    <cellStyle name="Accent6 2 5" xfId="144"/>
    <cellStyle name="Accent6 3" xfId="1316"/>
    <cellStyle name="Accent6 4" xfId="1474"/>
    <cellStyle name="Bad" xfId="145" builtinId="27" customBuiltin="1"/>
    <cellStyle name="Bad 2" xfId="146"/>
    <cellStyle name="Bad 2 2" xfId="147"/>
    <cellStyle name="Bad 2 3" xfId="148"/>
    <cellStyle name="Bad 2 4" xfId="149"/>
    <cellStyle name="Bad 2 5" xfId="150"/>
    <cellStyle name="Bad 2 6" xfId="1317"/>
    <cellStyle name="Bad 3" xfId="1318"/>
    <cellStyle name="Bad 4" xfId="1319"/>
    <cellStyle name="Bad 5" xfId="1475"/>
    <cellStyle name="C00A" xfId="151"/>
    <cellStyle name="C00B" xfId="152"/>
    <cellStyle name="C00L" xfId="153"/>
    <cellStyle name="C01A" xfId="154"/>
    <cellStyle name="C01B" xfId="155"/>
    <cellStyle name="C01B 2" xfId="156"/>
    <cellStyle name="C01B 2 2" xfId="1550"/>
    <cellStyle name="C01B 3" xfId="1476"/>
    <cellStyle name="C01H" xfId="157"/>
    <cellStyle name="C01L" xfId="158"/>
    <cellStyle name="C02A" xfId="159"/>
    <cellStyle name="C02B" xfId="160"/>
    <cellStyle name="C02B 2" xfId="161"/>
    <cellStyle name="C02B 2 2" xfId="1551"/>
    <cellStyle name="C02B 3" xfId="1477"/>
    <cellStyle name="C02H" xfId="162"/>
    <cellStyle name="C02L" xfId="163"/>
    <cellStyle name="C03A" xfId="164"/>
    <cellStyle name="C03B" xfId="165"/>
    <cellStyle name="C03H" xfId="166"/>
    <cellStyle name="C03L" xfId="167"/>
    <cellStyle name="C04A" xfId="168"/>
    <cellStyle name="C04A 2" xfId="169"/>
    <cellStyle name="C04A 2 2" xfId="1552"/>
    <cellStyle name="C04A 3" xfId="1478"/>
    <cellStyle name="C04B" xfId="170"/>
    <cellStyle name="C04H" xfId="171"/>
    <cellStyle name="C04L" xfId="172"/>
    <cellStyle name="C05A" xfId="173"/>
    <cellStyle name="C05B" xfId="174"/>
    <cellStyle name="C05H" xfId="175"/>
    <cellStyle name="C05L" xfId="176"/>
    <cellStyle name="C05L 2" xfId="177"/>
    <cellStyle name="C05L 2 2" xfId="1553"/>
    <cellStyle name="C05L 3" xfId="1479"/>
    <cellStyle name="C06A" xfId="178"/>
    <cellStyle name="C06B" xfId="179"/>
    <cellStyle name="C06H" xfId="180"/>
    <cellStyle name="C06L" xfId="181"/>
    <cellStyle name="C07A" xfId="182"/>
    <cellStyle name="C07B" xfId="183"/>
    <cellStyle name="C07H" xfId="184"/>
    <cellStyle name="C07L" xfId="185"/>
    <cellStyle name="cajun" xfId="1320"/>
    <cellStyle name="Calculation" xfId="186" builtinId="22" customBuiltin="1"/>
    <cellStyle name="Calculation 2" xfId="187"/>
    <cellStyle name="Calculation 2 2" xfId="188"/>
    <cellStyle name="Calculation 2 3" xfId="189"/>
    <cellStyle name="Calculation 2 4" xfId="190"/>
    <cellStyle name="Calculation 2 5" xfId="191"/>
    <cellStyle name="Calculation 3" xfId="1321"/>
    <cellStyle name="Calculation 4" xfId="1509"/>
    <cellStyle name="Check Cell" xfId="192" builtinId="23" customBuiltin="1"/>
    <cellStyle name="Check Cell 2" xfId="193"/>
    <cellStyle name="Check Cell 2 2" xfId="194"/>
    <cellStyle name="Check Cell 2 3" xfId="195"/>
    <cellStyle name="Check Cell 2 4" xfId="196"/>
    <cellStyle name="Check Cell 2 5" xfId="197"/>
    <cellStyle name="Check Cell 2 6" xfId="1322"/>
    <cellStyle name="Check Cell 3" xfId="1323"/>
    <cellStyle name="Check Cell 4" xfId="1324"/>
    <cellStyle name="Check Cell 5" xfId="1480"/>
    <cellStyle name="Comma" xfId="198" builtinId="3"/>
    <cellStyle name="Comma [0] 2" xfId="199"/>
    <cellStyle name="Comma [0] 2 2" xfId="200"/>
    <cellStyle name="Comma [0] 2 2 2" xfId="1325"/>
    <cellStyle name="Comma [0] 2 3" xfId="1214"/>
    <cellStyle name="Comma 10" xfId="201"/>
    <cellStyle name="Comma 10 2" xfId="1326"/>
    <cellStyle name="Comma 100" xfId="202"/>
    <cellStyle name="Comma 100 2" xfId="1533"/>
    <cellStyle name="Comma 101" xfId="203"/>
    <cellStyle name="Comma 101 2" xfId="204"/>
    <cellStyle name="Comma 101 2 2" xfId="1555"/>
    <cellStyle name="Comma 101 3" xfId="1554"/>
    <cellStyle name="Comma 102" xfId="205"/>
    <cellStyle name="Comma 102 2" xfId="206"/>
    <cellStyle name="Comma 102 2 2" xfId="1557"/>
    <cellStyle name="Comma 102 3" xfId="1556"/>
    <cellStyle name="Comma 103" xfId="207"/>
    <cellStyle name="Comma 103 2" xfId="208"/>
    <cellStyle name="Comma 103 2 2" xfId="1559"/>
    <cellStyle name="Comma 103 3" xfId="1558"/>
    <cellStyle name="Comma 104" xfId="209"/>
    <cellStyle name="Comma 104 2" xfId="210"/>
    <cellStyle name="Comma 104 2 2" xfId="1561"/>
    <cellStyle name="Comma 104 3" xfId="1560"/>
    <cellStyle name="Comma 105" xfId="211"/>
    <cellStyle name="Comma 105 2" xfId="212"/>
    <cellStyle name="Comma 105 2 2" xfId="1563"/>
    <cellStyle name="Comma 105 3" xfId="1562"/>
    <cellStyle name="Comma 106" xfId="213"/>
    <cellStyle name="Comma 106 2" xfId="214"/>
    <cellStyle name="Comma 106 2 2" xfId="1565"/>
    <cellStyle name="Comma 106 3" xfId="1564"/>
    <cellStyle name="Comma 107" xfId="215"/>
    <cellStyle name="Comma 107 2" xfId="216"/>
    <cellStyle name="Comma 107 2 2" xfId="1567"/>
    <cellStyle name="Comma 107 3" xfId="1566"/>
    <cellStyle name="Comma 108" xfId="217"/>
    <cellStyle name="Comma 108 2" xfId="218"/>
    <cellStyle name="Comma 108 2 2" xfId="1569"/>
    <cellStyle name="Comma 108 3" xfId="1568"/>
    <cellStyle name="Comma 109" xfId="219"/>
    <cellStyle name="Comma 109 2" xfId="1570"/>
    <cellStyle name="Comma 11" xfId="220"/>
    <cellStyle name="Comma 11 2" xfId="1328"/>
    <cellStyle name="Comma 11 3" xfId="1327"/>
    <cellStyle name="Comma 11 4" xfId="1571"/>
    <cellStyle name="Comma 110" xfId="221"/>
    <cellStyle name="Comma 110 2" xfId="1184"/>
    <cellStyle name="Comma 111" xfId="222"/>
    <cellStyle name="Comma 111 2" xfId="1572"/>
    <cellStyle name="Comma 112" xfId="223"/>
    <cellStyle name="Comma 112 2" xfId="224"/>
    <cellStyle name="Comma 112 2 2" xfId="1574"/>
    <cellStyle name="Comma 112 3" xfId="1573"/>
    <cellStyle name="Comma 113" xfId="225"/>
    <cellStyle name="Comma 113 2" xfId="226"/>
    <cellStyle name="Comma 113 2 2" xfId="1576"/>
    <cellStyle name="Comma 113 3" xfId="1575"/>
    <cellStyle name="Comma 114" xfId="227"/>
    <cellStyle name="Comma 114 2" xfId="228"/>
    <cellStyle name="Comma 114 2 2" xfId="1578"/>
    <cellStyle name="Comma 114 3" xfId="1577"/>
    <cellStyle name="Comma 115" xfId="229"/>
    <cellStyle name="Comma 115 2" xfId="230"/>
    <cellStyle name="Comma 115 2 2" xfId="1580"/>
    <cellStyle name="Comma 115 3" xfId="1579"/>
    <cellStyle name="Comma 116" xfId="231"/>
    <cellStyle name="Comma 116 2" xfId="232"/>
    <cellStyle name="Comma 116 2 2" xfId="1581"/>
    <cellStyle name="Comma 116 3" xfId="1529"/>
    <cellStyle name="Comma 117" xfId="233"/>
    <cellStyle name="Comma 117 2" xfId="234"/>
    <cellStyle name="Comma 117 2 2" xfId="1582"/>
    <cellStyle name="Comma 117 3" xfId="1530"/>
    <cellStyle name="Comma 118" xfId="235"/>
    <cellStyle name="Comma 118 2" xfId="236"/>
    <cellStyle name="Comma 118 2 2" xfId="1583"/>
    <cellStyle name="Comma 118 3" xfId="1531"/>
    <cellStyle name="Comma 119" xfId="237"/>
    <cellStyle name="Comma 119 2" xfId="238"/>
    <cellStyle name="Comma 119 2 2" xfId="1585"/>
    <cellStyle name="Comma 119 3" xfId="1584"/>
    <cellStyle name="Comma 12" xfId="239"/>
    <cellStyle name="Comma 12 2" xfId="240"/>
    <cellStyle name="Comma 12 2 2" xfId="241"/>
    <cellStyle name="Comma 12 2 3" xfId="242"/>
    <cellStyle name="Comma 12 2 4" xfId="1156"/>
    <cellStyle name="Comma 12 2 4 2" xfId="2121"/>
    <cellStyle name="Comma 12 2 5" xfId="1330"/>
    <cellStyle name="Comma 12 3" xfId="1329"/>
    <cellStyle name="Comma 12 4" xfId="1586"/>
    <cellStyle name="Comma 120" xfId="243"/>
    <cellStyle name="Comma 120 2" xfId="244"/>
    <cellStyle name="Comma 120 2 2" xfId="1588"/>
    <cellStyle name="Comma 120 3" xfId="1587"/>
    <cellStyle name="Comma 121" xfId="245"/>
    <cellStyle name="Comma 121 2" xfId="246"/>
    <cellStyle name="Comma 121 2 2" xfId="1590"/>
    <cellStyle name="Comma 121 3" xfId="1589"/>
    <cellStyle name="Comma 122" xfId="247"/>
    <cellStyle name="Comma 122 2" xfId="248"/>
    <cellStyle name="Comma 122 2 2" xfId="1592"/>
    <cellStyle name="Comma 122 3" xfId="1591"/>
    <cellStyle name="Comma 123" xfId="249"/>
    <cellStyle name="Comma 123 2" xfId="250"/>
    <cellStyle name="Comma 123 2 2" xfId="1594"/>
    <cellStyle name="Comma 123 3" xfId="1593"/>
    <cellStyle name="Comma 124" xfId="251"/>
    <cellStyle name="Comma 124 2" xfId="252"/>
    <cellStyle name="Comma 124 2 2" xfId="1596"/>
    <cellStyle name="Comma 124 3" xfId="1595"/>
    <cellStyle name="Comma 125" xfId="253"/>
    <cellStyle name="Comma 125 2" xfId="254"/>
    <cellStyle name="Comma 125 2 2" xfId="1598"/>
    <cellStyle name="Comma 125 3" xfId="1597"/>
    <cellStyle name="Comma 126" xfId="255"/>
    <cellStyle name="Comma 126 2" xfId="256"/>
    <cellStyle name="Comma 126 2 2" xfId="1600"/>
    <cellStyle name="Comma 126 3" xfId="1599"/>
    <cellStyle name="Comma 127" xfId="257"/>
    <cellStyle name="Comma 127 2" xfId="258"/>
    <cellStyle name="Comma 127 2 2" xfId="1602"/>
    <cellStyle name="Comma 127 3" xfId="1601"/>
    <cellStyle name="Comma 128" xfId="259"/>
    <cellStyle name="Comma 128 2" xfId="260"/>
    <cellStyle name="Comma 128 2 2" xfId="1604"/>
    <cellStyle name="Comma 128 3" xfId="1603"/>
    <cellStyle name="Comma 129" xfId="261"/>
    <cellStyle name="Comma 129 2" xfId="262"/>
    <cellStyle name="Comma 129 2 2" xfId="1606"/>
    <cellStyle name="Comma 129 3" xfId="1605"/>
    <cellStyle name="Comma 13" xfId="263"/>
    <cellStyle name="Comma 13 2" xfId="1331"/>
    <cellStyle name="Comma 13 3" xfId="1607"/>
    <cellStyle name="Comma 130" xfId="264"/>
    <cellStyle name="Comma 130 2" xfId="265"/>
    <cellStyle name="Comma 130 2 2" xfId="1609"/>
    <cellStyle name="Comma 130 3" xfId="1608"/>
    <cellStyle name="Comma 131" xfId="266"/>
    <cellStyle name="Comma 131 2" xfId="1610"/>
    <cellStyle name="Comma 132" xfId="267"/>
    <cellStyle name="Comma 132 2" xfId="1611"/>
    <cellStyle name="Comma 133" xfId="268"/>
    <cellStyle name="Comma 133 2" xfId="1612"/>
    <cellStyle name="Comma 134" xfId="1155"/>
    <cellStyle name="Comma 134 2" xfId="2120"/>
    <cellStyle name="Comma 135" xfId="1165"/>
    <cellStyle name="Comma 135 2" xfId="2130"/>
    <cellStyle name="Comma 136" xfId="1199"/>
    <cellStyle name="Comma 136 2" xfId="2151"/>
    <cellStyle name="Comma 137" xfId="1440"/>
    <cellStyle name="Comma 137 2" xfId="2163"/>
    <cellStyle name="Comma 138" xfId="1527"/>
    <cellStyle name="Comma 138 2" xfId="2167"/>
    <cellStyle name="Comma 139" xfId="1510"/>
    <cellStyle name="Comma 139 2" xfId="2164"/>
    <cellStyle name="Comma 14" xfId="269"/>
    <cellStyle name="Comma 14 2" xfId="1332"/>
    <cellStyle name="Comma 14 3" xfId="1613"/>
    <cellStyle name="Comma 140" xfId="1537"/>
    <cellStyle name="Comma 15" xfId="270"/>
    <cellStyle name="Comma 15 2" xfId="1333"/>
    <cellStyle name="Comma 15 3" xfId="1614"/>
    <cellStyle name="Comma 16" xfId="271"/>
    <cellStyle name="Comma 16 2" xfId="1334"/>
    <cellStyle name="Comma 16 3" xfId="1615"/>
    <cellStyle name="Comma 17" xfId="272"/>
    <cellStyle name="Comma 17 2" xfId="1335"/>
    <cellStyle name="Comma 17 3" xfId="1616"/>
    <cellStyle name="Comma 18" xfId="273"/>
    <cellStyle name="Comma 18 2" xfId="1336"/>
    <cellStyle name="Comma 18 3" xfId="1617"/>
    <cellStyle name="Comma 19" xfId="274"/>
    <cellStyle name="Comma 19 2" xfId="1337"/>
    <cellStyle name="Comma 19 3" xfId="1618"/>
    <cellStyle name="Comma 2" xfId="275"/>
    <cellStyle name="Comma 2 2" xfId="276"/>
    <cellStyle name="Comma 2 2 2" xfId="277"/>
    <cellStyle name="Comma 2 2 2 2" xfId="1619"/>
    <cellStyle name="Comma 2 2 3" xfId="1201"/>
    <cellStyle name="Comma 2 3" xfId="278"/>
    <cellStyle name="Comma 2 3 2" xfId="279"/>
    <cellStyle name="Comma 2 3 2 2" xfId="1620"/>
    <cellStyle name="Comma 2 3 3" xfId="280"/>
    <cellStyle name="Comma 2 3 3 2" xfId="1621"/>
    <cellStyle name="Comma 2 3 4" xfId="281"/>
    <cellStyle name="Comma 2 3 5" xfId="1524"/>
    <cellStyle name="Comma 2 4" xfId="282"/>
    <cellStyle name="Comma 2 4 2" xfId="1622"/>
    <cellStyle name="Comma 2 5" xfId="1175"/>
    <cellStyle name="Comma 20" xfId="283"/>
    <cellStyle name="Comma 20 2" xfId="1338"/>
    <cellStyle name="Comma 20 3" xfId="1623"/>
    <cellStyle name="Comma 21" xfId="284"/>
    <cellStyle name="Comma 21 2" xfId="1340"/>
    <cellStyle name="Comma 21 3" xfId="1339"/>
    <cellStyle name="Comma 22" xfId="285"/>
    <cellStyle name="Comma 22 2" xfId="1341"/>
    <cellStyle name="Comma 22 3" xfId="1624"/>
    <cellStyle name="Comma 23" xfId="286"/>
    <cellStyle name="Comma 23 2" xfId="1342"/>
    <cellStyle name="Comma 23 3" xfId="1625"/>
    <cellStyle name="Comma 24" xfId="287"/>
    <cellStyle name="Comma 24 2" xfId="1343"/>
    <cellStyle name="Comma 24 3" xfId="1626"/>
    <cellStyle name="Comma 25" xfId="288"/>
    <cellStyle name="Comma 25 2" xfId="289"/>
    <cellStyle name="Comma 26" xfId="290"/>
    <cellStyle name="Comma 26 2" xfId="291"/>
    <cellStyle name="Comma 27" xfId="292"/>
    <cellStyle name="Comma 27 2" xfId="293"/>
    <cellStyle name="Comma 28" xfId="294"/>
    <cellStyle name="Comma 28 2" xfId="295"/>
    <cellStyle name="Comma 29" xfId="296"/>
    <cellStyle name="Comma 29 2" xfId="297"/>
    <cellStyle name="Comma 3" xfId="298"/>
    <cellStyle name="Comma 3 10" xfId="299"/>
    <cellStyle name="Comma 3 10 2" xfId="300"/>
    <cellStyle name="Comma 3 10 2 2" xfId="1628"/>
    <cellStyle name="Comma 3 10 3" xfId="301"/>
    <cellStyle name="Comma 3 10 3 2" xfId="1629"/>
    <cellStyle name="Comma 3 10 4" xfId="1627"/>
    <cellStyle name="Comma 3 11" xfId="302"/>
    <cellStyle name="Comma 3 11 2" xfId="303"/>
    <cellStyle name="Comma 3 11 2 2" xfId="1631"/>
    <cellStyle name="Comma 3 11 3" xfId="1630"/>
    <cellStyle name="Comma 3 12" xfId="304"/>
    <cellStyle name="Comma 3 12 2" xfId="305"/>
    <cellStyle name="Comma 3 12 2 2" xfId="1633"/>
    <cellStyle name="Comma 3 12 3" xfId="1632"/>
    <cellStyle name="Comma 3 13" xfId="306"/>
    <cellStyle name="Comma 3 13 2" xfId="307"/>
    <cellStyle name="Comma 3 13 2 2" xfId="1635"/>
    <cellStyle name="Comma 3 13 3" xfId="1634"/>
    <cellStyle name="Comma 3 14" xfId="308"/>
    <cellStyle name="Comma 3 14 2" xfId="1636"/>
    <cellStyle name="Comma 3 2" xfId="309"/>
    <cellStyle name="Comma 3 2 2" xfId="310"/>
    <cellStyle name="Comma 3 2 2 2" xfId="1637"/>
    <cellStyle name="Comma 3 2 3" xfId="1344"/>
    <cellStyle name="Comma 3 3" xfId="311"/>
    <cellStyle name="Comma 3 3 2" xfId="312"/>
    <cellStyle name="Comma 3 3 2 2" xfId="313"/>
    <cellStyle name="Comma 3 3 2 2 2" xfId="1639"/>
    <cellStyle name="Comma 3 3 2 3" xfId="314"/>
    <cellStyle name="Comma 3 3 2 3 2" xfId="1640"/>
    <cellStyle name="Comma 3 3 2 4" xfId="1638"/>
    <cellStyle name="Comma 3 3 3" xfId="315"/>
    <cellStyle name="Comma 3 3 3 2" xfId="316"/>
    <cellStyle name="Comma 3 3 3 2 2" xfId="317"/>
    <cellStyle name="Comma 3 3 3 2 2 2" xfId="1643"/>
    <cellStyle name="Comma 3 3 3 2 3" xfId="318"/>
    <cellStyle name="Comma 3 3 3 2 3 2" xfId="1644"/>
    <cellStyle name="Comma 3 3 3 2 4" xfId="319"/>
    <cellStyle name="Comma 3 3 3 2 4 2" xfId="1645"/>
    <cellStyle name="Comma 3 3 3 2 5" xfId="320"/>
    <cellStyle name="Comma 3 3 3 2 5 2" xfId="1646"/>
    <cellStyle name="Comma 3 3 3 2 6" xfId="1642"/>
    <cellStyle name="Comma 3 3 3 3" xfId="321"/>
    <cellStyle name="Comma 3 3 3 3 2" xfId="1647"/>
    <cellStyle name="Comma 3 3 3 4" xfId="1641"/>
    <cellStyle name="Comma 3 3 4" xfId="322"/>
    <cellStyle name="Comma 3 3 4 2" xfId="1648"/>
    <cellStyle name="Comma 3 3 5" xfId="323"/>
    <cellStyle name="Comma 3 3 5 2" xfId="324"/>
    <cellStyle name="Comma 3 3 5 2 2" xfId="1650"/>
    <cellStyle name="Comma 3 3 5 3" xfId="325"/>
    <cellStyle name="Comma 3 3 5 3 2" xfId="1651"/>
    <cellStyle name="Comma 3 3 5 4" xfId="326"/>
    <cellStyle name="Comma 3 3 5 4 2" xfId="1652"/>
    <cellStyle name="Comma 3 3 5 5" xfId="327"/>
    <cellStyle name="Comma 3 3 5 5 2" xfId="1653"/>
    <cellStyle name="Comma 3 3 5 6" xfId="1649"/>
    <cellStyle name="Comma 3 3 6" xfId="328"/>
    <cellStyle name="Comma 3 3 6 2" xfId="1654"/>
    <cellStyle name="Comma 3 3 7" xfId="1183"/>
    <cellStyle name="Comma 3 4" xfId="329"/>
    <cellStyle name="Comma 3 4 2" xfId="330"/>
    <cellStyle name="Comma 3 4 2 2" xfId="1655"/>
    <cellStyle name="Comma 3 4 3" xfId="331"/>
    <cellStyle name="Comma 3 4 3 2" xfId="1656"/>
    <cellStyle name="Comma 3 4 4" xfId="332"/>
    <cellStyle name="Comma 3 4 4 2" xfId="333"/>
    <cellStyle name="Comma 3 4 4 2 2" xfId="1658"/>
    <cellStyle name="Comma 3 4 4 3" xfId="334"/>
    <cellStyle name="Comma 3 4 4 3 2" xfId="1659"/>
    <cellStyle name="Comma 3 4 4 4" xfId="335"/>
    <cellStyle name="Comma 3 4 4 4 2" xfId="1660"/>
    <cellStyle name="Comma 3 4 4 5" xfId="336"/>
    <cellStyle name="Comma 3 4 4 5 2" xfId="1661"/>
    <cellStyle name="Comma 3 4 4 6" xfId="1657"/>
    <cellStyle name="Comma 3 4 5" xfId="337"/>
    <cellStyle name="Comma 3 4 5 2" xfId="1662"/>
    <cellStyle name="Comma 3 4 6" xfId="1525"/>
    <cellStyle name="Comma 3 5" xfId="338"/>
    <cellStyle name="Comma 3 5 2" xfId="339"/>
    <cellStyle name="Comma 3 5 2 2" xfId="1664"/>
    <cellStyle name="Comma 3 5 3" xfId="340"/>
    <cellStyle name="Comma 3 5 3 2" xfId="341"/>
    <cellStyle name="Comma 3 5 3 2 2" xfId="1666"/>
    <cellStyle name="Comma 3 5 3 3" xfId="342"/>
    <cellStyle name="Comma 3 5 3 3 2" xfId="1667"/>
    <cellStyle name="Comma 3 5 3 4" xfId="1665"/>
    <cellStyle name="Comma 3 5 4" xfId="1663"/>
    <cellStyle name="Comma 3 6" xfId="343"/>
    <cellStyle name="Comma 3 6 2" xfId="1126"/>
    <cellStyle name="Comma 3 6 2 2" xfId="2093"/>
    <cellStyle name="Comma 3 6 3" xfId="1668"/>
    <cellStyle name="Comma 3 7" xfId="344"/>
    <cellStyle name="Comma 3 7 2" xfId="1127"/>
    <cellStyle name="Comma 3 7 2 2" xfId="2094"/>
    <cellStyle name="Comma 3 7 3" xfId="1669"/>
    <cellStyle name="Comma 3 8" xfId="345"/>
    <cellStyle name="Comma 3 8 2" xfId="1670"/>
    <cellStyle name="Comma 3 9" xfId="346"/>
    <cellStyle name="Comma 3 9 2" xfId="1671"/>
    <cellStyle name="Comma 30" xfId="347"/>
    <cellStyle name="Comma 30 2" xfId="1346"/>
    <cellStyle name="Comma 30 3" xfId="1345"/>
    <cellStyle name="Comma 31" xfId="348"/>
    <cellStyle name="Comma 31 2" xfId="1348"/>
    <cellStyle name="Comma 31 3" xfId="1347"/>
    <cellStyle name="Comma 32" xfId="349"/>
    <cellStyle name="Comma 33" xfId="350"/>
    <cellStyle name="Comma 34" xfId="351"/>
    <cellStyle name="Comma 34 2" xfId="1350"/>
    <cellStyle name="Comma 34 3" xfId="1349"/>
    <cellStyle name="Comma 35" xfId="352"/>
    <cellStyle name="Comma 35 2" xfId="1352"/>
    <cellStyle name="Comma 35 3" xfId="1351"/>
    <cellStyle name="Comma 36" xfId="353"/>
    <cellStyle name="Comma 36 2" xfId="1353"/>
    <cellStyle name="Comma 37" xfId="354"/>
    <cellStyle name="Comma 37 2" xfId="1354"/>
    <cellStyle name="Comma 38" xfId="355"/>
    <cellStyle name="Comma 38 2" xfId="1211"/>
    <cellStyle name="Comma 38 2 2" xfId="2157"/>
    <cellStyle name="Comma 39" xfId="356"/>
    <cellStyle name="Comma 4" xfId="357"/>
    <cellStyle name="Comma 4 2" xfId="358"/>
    <cellStyle name="Comma 4 2 2" xfId="359"/>
    <cellStyle name="Comma 4 2 2 2" xfId="360"/>
    <cellStyle name="Comma 4 2 2 2 2" xfId="1672"/>
    <cellStyle name="Comma 4 2 2 3" xfId="361"/>
    <cellStyle name="Comma 4 2 2 3 2" xfId="1673"/>
    <cellStyle name="Comma 4 2 2 4" xfId="362"/>
    <cellStyle name="Comma 4 2 2 4 2" xfId="1674"/>
    <cellStyle name="Comma 4 2 2 5" xfId="363"/>
    <cellStyle name="Comma 4 2 2 5 2" xfId="1675"/>
    <cellStyle name="Comma 4 2 2 6" xfId="1357"/>
    <cellStyle name="Comma 4 2 3" xfId="364"/>
    <cellStyle name="Comma 4 2 3 2" xfId="365"/>
    <cellStyle name="Comma 4 2 3 2 2" xfId="366"/>
    <cellStyle name="Comma 4 2 3 3" xfId="367"/>
    <cellStyle name="Comma 4 2 3 3 2" xfId="368"/>
    <cellStyle name="Comma 4 2 3 4" xfId="369"/>
    <cellStyle name="Comma 4 2 4" xfId="370"/>
    <cellStyle name="Comma 4 2 4 2" xfId="371"/>
    <cellStyle name="Comma 4 2 4 3" xfId="372"/>
    <cellStyle name="Comma 4 2 4 4" xfId="373"/>
    <cellStyle name="Comma 4 2 4 4 2" xfId="1676"/>
    <cellStyle name="Comma 4 2 5" xfId="374"/>
    <cellStyle name="Comma 4 2 5 2" xfId="1677"/>
    <cellStyle name="Comma 4 2 6" xfId="375"/>
    <cellStyle name="Comma 4 2 6 2" xfId="1678"/>
    <cellStyle name="Comma 4 2 7" xfId="376"/>
    <cellStyle name="Comma 4 2 7 2" xfId="1679"/>
    <cellStyle name="Comma 4 2 8" xfId="1356"/>
    <cellStyle name="Comma 4 3" xfId="377"/>
    <cellStyle name="Comma 4 3 2" xfId="378"/>
    <cellStyle name="Comma 4 3 2 2" xfId="379"/>
    <cellStyle name="Comma 4 3 2 2 2" xfId="380"/>
    <cellStyle name="Comma 4 3 2 3" xfId="381"/>
    <cellStyle name="Comma 4 3 2 3 2" xfId="382"/>
    <cellStyle name="Comma 4 3 2 4" xfId="383"/>
    <cellStyle name="Comma 4 3 3" xfId="384"/>
    <cellStyle name="Comma 4 3 3 2" xfId="1680"/>
    <cellStyle name="Comma 4 3 4" xfId="385"/>
    <cellStyle name="Comma 4 3 4 2" xfId="386"/>
    <cellStyle name="Comma 4 3 4 3" xfId="387"/>
    <cellStyle name="Comma 4 3 5" xfId="388"/>
    <cellStyle name="Comma 4 3 5 2" xfId="389"/>
    <cellStyle name="Comma 4 3 6" xfId="390"/>
    <cellStyle name="Comma 4 3 6 2" xfId="391"/>
    <cellStyle name="Comma 4 3 7" xfId="392"/>
    <cellStyle name="Comma 4 3 8" xfId="1358"/>
    <cellStyle name="Comma 4 4" xfId="393"/>
    <cellStyle name="Comma 4 4 2" xfId="394"/>
    <cellStyle name="Comma 4 4 2 2" xfId="1682"/>
    <cellStyle name="Comma 4 4 3" xfId="395"/>
    <cellStyle name="Comma 4 4 3 2" xfId="1683"/>
    <cellStyle name="Comma 4 4 4" xfId="396"/>
    <cellStyle name="Comma 4 4 4 2" xfId="1684"/>
    <cellStyle name="Comma 4 4 5" xfId="397"/>
    <cellStyle name="Comma 4 4 5 2" xfId="1685"/>
    <cellStyle name="Comma 4 4 6" xfId="1681"/>
    <cellStyle name="Comma 4 5" xfId="398"/>
    <cellStyle name="Comma 4 5 2" xfId="399"/>
    <cellStyle name="Comma 4 6" xfId="400"/>
    <cellStyle name="Comma 4 7" xfId="401"/>
    <cellStyle name="Comma 4 7 2" xfId="402"/>
    <cellStyle name="Comma 4 7 3" xfId="403"/>
    <cellStyle name="Comma 4 8" xfId="1157"/>
    <cellStyle name="Comma 4 8 2" xfId="2122"/>
    <cellStyle name="Comma 4 9" xfId="1355"/>
    <cellStyle name="Comma 40" xfId="404"/>
    <cellStyle name="Comma 41" xfId="405"/>
    <cellStyle name="Comma 42" xfId="406"/>
    <cellStyle name="Comma 42 2" xfId="1508"/>
    <cellStyle name="Comma 43" xfId="407"/>
    <cellStyle name="Comma 43 2" xfId="1511"/>
    <cellStyle name="Comma 44" xfId="408"/>
    <cellStyle name="Comma 44 2" xfId="1516"/>
    <cellStyle name="Comma 45" xfId="409"/>
    <cellStyle name="Comma 45 2" xfId="1512"/>
    <cellStyle name="Comma 46" xfId="410"/>
    <cellStyle name="Comma 46 2" xfId="1517"/>
    <cellStyle name="Comma 47" xfId="411"/>
    <cellStyle name="Comma 47 2" xfId="1513"/>
    <cellStyle name="Comma 48" xfId="412"/>
    <cellStyle name="Comma 48 2" xfId="1515"/>
    <cellStyle name="Comma 49" xfId="413"/>
    <cellStyle name="Comma 49 2" xfId="1514"/>
    <cellStyle name="Comma 5" xfId="414"/>
    <cellStyle name="Comma 5 2" xfId="415"/>
    <cellStyle name="Comma 5 2 2" xfId="416"/>
    <cellStyle name="Comma 5 2 2 2" xfId="1688"/>
    <cellStyle name="Comma 5 2 3" xfId="417"/>
    <cellStyle name="Comma 5 2 3 2" xfId="1689"/>
    <cellStyle name="Comma 5 2 4" xfId="1360"/>
    <cellStyle name="Comma 5 2 5" xfId="1687"/>
    <cellStyle name="Comma 5 3" xfId="418"/>
    <cellStyle name="Comma 5 3 2" xfId="1690"/>
    <cellStyle name="Comma 5 4" xfId="1359"/>
    <cellStyle name="Comma 5 5" xfId="1686"/>
    <cellStyle name="Comma 50" xfId="419"/>
    <cellStyle name="Comma 50 2" xfId="1518"/>
    <cellStyle name="Comma 51" xfId="420"/>
    <cellStyle name="Comma 51 2" xfId="1520"/>
    <cellStyle name="Comma 51 3" xfId="1691"/>
    <cellStyle name="Comma 52" xfId="421"/>
    <cellStyle name="Comma 52 2" xfId="422"/>
    <cellStyle name="Comma 53" xfId="423"/>
    <cellStyle name="Comma 53 2" xfId="1692"/>
    <cellStyle name="Comma 54" xfId="424"/>
    <cellStyle name="Comma 55" xfId="425"/>
    <cellStyle name="Comma 56" xfId="426"/>
    <cellStyle name="Comma 57" xfId="427"/>
    <cellStyle name="Comma 57 2" xfId="428"/>
    <cellStyle name="Comma 57 2 2" xfId="1694"/>
    <cellStyle name="Comma 57 3" xfId="429"/>
    <cellStyle name="Comma 57 3 2" xfId="1695"/>
    <cellStyle name="Comma 57 4" xfId="430"/>
    <cellStyle name="Comma 57 4 2" xfId="1696"/>
    <cellStyle name="Comma 57 5" xfId="431"/>
    <cellStyle name="Comma 57 5 2" xfId="1697"/>
    <cellStyle name="Comma 57 6" xfId="1693"/>
    <cellStyle name="Comma 58" xfId="432"/>
    <cellStyle name="Comma 58 2" xfId="433"/>
    <cellStyle name="Comma 58 2 2" xfId="1699"/>
    <cellStyle name="Comma 58 3" xfId="434"/>
    <cellStyle name="Comma 58 3 2" xfId="1700"/>
    <cellStyle name="Comma 58 4" xfId="435"/>
    <cellStyle name="Comma 58 4 2" xfId="1701"/>
    <cellStyle name="Comma 58 5" xfId="436"/>
    <cellStyle name="Comma 58 5 2" xfId="1702"/>
    <cellStyle name="Comma 58 6" xfId="1698"/>
    <cellStyle name="Comma 59" xfId="437"/>
    <cellStyle name="Comma 59 2" xfId="438"/>
    <cellStyle name="Comma 59 2 2" xfId="1704"/>
    <cellStyle name="Comma 59 3" xfId="439"/>
    <cellStyle name="Comma 59 3 2" xfId="1705"/>
    <cellStyle name="Comma 59 4" xfId="440"/>
    <cellStyle name="Comma 59 4 2" xfId="1706"/>
    <cellStyle name="Comma 59 5" xfId="441"/>
    <cellStyle name="Comma 59 5 2" xfId="1707"/>
    <cellStyle name="Comma 59 6" xfId="1703"/>
    <cellStyle name="Comma 6" xfId="442"/>
    <cellStyle name="Comma 6 2" xfId="443"/>
    <cellStyle name="Comma 6 2 2" xfId="1174"/>
    <cellStyle name="Comma 6 2 3" xfId="1362"/>
    <cellStyle name="Comma 6 3" xfId="444"/>
    <cellStyle name="Comma 6 3 2" xfId="1159"/>
    <cellStyle name="Comma 6 3 2 2" xfId="2124"/>
    <cellStyle name="Comma 6 3 3" xfId="1708"/>
    <cellStyle name="Comma 6 4" xfId="445"/>
    <cellStyle name="Comma 6 4 2" xfId="446"/>
    <cellStyle name="Comma 6 4 2 2" xfId="1710"/>
    <cellStyle name="Comma 6 4 3" xfId="447"/>
    <cellStyle name="Comma 6 4 3 2" xfId="1711"/>
    <cellStyle name="Comma 6 4 4" xfId="448"/>
    <cellStyle name="Comma 6 4 4 2" xfId="1712"/>
    <cellStyle name="Comma 6 4 5" xfId="449"/>
    <cellStyle name="Comma 6 4 5 2" xfId="1713"/>
    <cellStyle name="Comma 6 4 6" xfId="1709"/>
    <cellStyle name="Comma 6 5" xfId="450"/>
    <cellStyle name="Comma 6 5 2" xfId="1714"/>
    <cellStyle name="Comma 6 6" xfId="451"/>
    <cellStyle name="Comma 6 6 2" xfId="1715"/>
    <cellStyle name="Comma 6 7" xfId="452"/>
    <cellStyle name="Comma 6 7 2" xfId="453"/>
    <cellStyle name="Comma 6 7 3" xfId="454"/>
    <cellStyle name="Comma 6 8" xfId="1158"/>
    <cellStyle name="Comma 6 8 2" xfId="2123"/>
    <cellStyle name="Comma 6 9" xfId="1361"/>
    <cellStyle name="Comma 60" xfId="455"/>
    <cellStyle name="Comma 60 2" xfId="456"/>
    <cellStyle name="Comma 60 2 2" xfId="1717"/>
    <cellStyle name="Comma 60 3" xfId="457"/>
    <cellStyle name="Comma 60 3 2" xfId="1718"/>
    <cellStyle name="Comma 60 4" xfId="458"/>
    <cellStyle name="Comma 60 4 2" xfId="1719"/>
    <cellStyle name="Comma 60 5" xfId="459"/>
    <cellStyle name="Comma 60 5 2" xfId="1720"/>
    <cellStyle name="Comma 60 6" xfId="1716"/>
    <cellStyle name="Comma 61" xfId="460"/>
    <cellStyle name="Comma 61 2" xfId="461"/>
    <cellStyle name="Comma 61 2 2" xfId="1722"/>
    <cellStyle name="Comma 61 3" xfId="462"/>
    <cellStyle name="Comma 61 3 2" xfId="1723"/>
    <cellStyle name="Comma 61 4" xfId="463"/>
    <cellStyle name="Comma 61 4 2" xfId="1724"/>
    <cellStyle name="Comma 61 5" xfId="464"/>
    <cellStyle name="Comma 61 5 2" xfId="1725"/>
    <cellStyle name="Comma 61 6" xfId="1721"/>
    <cellStyle name="Comma 62" xfId="465"/>
    <cellStyle name="Comma 62 2" xfId="466"/>
    <cellStyle name="Comma 62 2 2" xfId="1727"/>
    <cellStyle name="Comma 62 3" xfId="467"/>
    <cellStyle name="Comma 62 3 2" xfId="1728"/>
    <cellStyle name="Comma 62 4" xfId="468"/>
    <cellStyle name="Comma 62 4 2" xfId="1729"/>
    <cellStyle name="Comma 62 5" xfId="1726"/>
    <cellStyle name="Comma 63" xfId="469"/>
    <cellStyle name="Comma 63 2" xfId="470"/>
    <cellStyle name="Comma 63 2 2" xfId="1731"/>
    <cellStyle name="Comma 63 3" xfId="471"/>
    <cellStyle name="Comma 63 3 2" xfId="1732"/>
    <cellStyle name="Comma 63 4" xfId="472"/>
    <cellStyle name="Comma 63 4 2" xfId="1733"/>
    <cellStyle name="Comma 63 5" xfId="1730"/>
    <cellStyle name="Comma 64" xfId="473"/>
    <cellStyle name="Comma 64 2" xfId="474"/>
    <cellStyle name="Comma 64 2 2" xfId="1735"/>
    <cellStyle name="Comma 64 3" xfId="475"/>
    <cellStyle name="Comma 64 3 2" xfId="1736"/>
    <cellStyle name="Comma 64 4" xfId="476"/>
    <cellStyle name="Comma 64 4 2" xfId="1737"/>
    <cellStyle name="Comma 64 5" xfId="1734"/>
    <cellStyle name="Comma 65" xfId="477"/>
    <cellStyle name="Comma 65 2" xfId="478"/>
    <cellStyle name="Comma 65 2 2" xfId="1739"/>
    <cellStyle name="Comma 65 3" xfId="479"/>
    <cellStyle name="Comma 65 3 2" xfId="1740"/>
    <cellStyle name="Comma 65 4" xfId="480"/>
    <cellStyle name="Comma 65 4 2" xfId="1741"/>
    <cellStyle name="Comma 65 5" xfId="1738"/>
    <cellStyle name="Comma 66" xfId="481"/>
    <cellStyle name="Comma 66 2" xfId="482"/>
    <cellStyle name="Comma 66 2 2" xfId="1743"/>
    <cellStyle name="Comma 66 3" xfId="483"/>
    <cellStyle name="Comma 66 3 2" xfId="1744"/>
    <cellStyle name="Comma 66 4" xfId="484"/>
    <cellStyle name="Comma 66 4 2" xfId="1745"/>
    <cellStyle name="Comma 66 5" xfId="1742"/>
    <cellStyle name="Comma 67" xfId="485"/>
    <cellStyle name="Comma 67 2" xfId="486"/>
    <cellStyle name="Comma 67 2 2" xfId="1747"/>
    <cellStyle name="Comma 67 3" xfId="487"/>
    <cellStyle name="Comma 67 3 2" xfId="1748"/>
    <cellStyle name="Comma 67 4" xfId="488"/>
    <cellStyle name="Comma 67 4 2" xfId="1749"/>
    <cellStyle name="Comma 67 5" xfId="1746"/>
    <cellStyle name="Comma 68" xfId="489"/>
    <cellStyle name="Comma 68 2" xfId="490"/>
    <cellStyle name="Comma 68 2 2" xfId="1751"/>
    <cellStyle name="Comma 68 3" xfId="491"/>
    <cellStyle name="Comma 68 3 2" xfId="1752"/>
    <cellStyle name="Comma 68 4" xfId="492"/>
    <cellStyle name="Comma 68 4 2" xfId="1753"/>
    <cellStyle name="Comma 68 5" xfId="1750"/>
    <cellStyle name="Comma 69" xfId="493"/>
    <cellStyle name="Comma 69 2" xfId="494"/>
    <cellStyle name="Comma 69 2 2" xfId="1755"/>
    <cellStyle name="Comma 69 3" xfId="1754"/>
    <cellStyle name="Comma 7" xfId="495"/>
    <cellStyle name="Comma 7 2" xfId="496"/>
    <cellStyle name="Comma 7 2 2" xfId="1364"/>
    <cellStyle name="Comma 7 2 3" xfId="1756"/>
    <cellStyle name="Comma 7 3" xfId="1182"/>
    <cellStyle name="Comma 7 4" xfId="1363"/>
    <cellStyle name="Comma 70" xfId="497"/>
    <cellStyle name="Comma 70 2" xfId="498"/>
    <cellStyle name="Comma 70 2 2" xfId="1758"/>
    <cellStyle name="Comma 70 3" xfId="1757"/>
    <cellStyle name="Comma 71" xfId="499"/>
    <cellStyle name="Comma 71 2" xfId="500"/>
    <cellStyle name="Comma 71 2 2" xfId="1760"/>
    <cellStyle name="Comma 71 3" xfId="1759"/>
    <cellStyle name="Comma 72" xfId="501"/>
    <cellStyle name="Comma 72 2" xfId="1761"/>
    <cellStyle name="Comma 73" xfId="502"/>
    <cellStyle name="Comma 73 2" xfId="1762"/>
    <cellStyle name="Comma 74" xfId="503"/>
    <cellStyle name="Comma 74 2" xfId="1763"/>
    <cellStyle name="Comma 75" xfId="504"/>
    <cellStyle name="Comma 75 2" xfId="1764"/>
    <cellStyle name="Comma 76" xfId="505"/>
    <cellStyle name="Comma 76 2" xfId="1765"/>
    <cellStyle name="Comma 77" xfId="506"/>
    <cellStyle name="Comma 77 2" xfId="1766"/>
    <cellStyle name="Comma 78" xfId="507"/>
    <cellStyle name="Comma 78 2" xfId="1767"/>
    <cellStyle name="Comma 79" xfId="508"/>
    <cellStyle name="Comma 79 2" xfId="1768"/>
    <cellStyle name="Comma 8" xfId="509"/>
    <cellStyle name="Comma 8 2" xfId="1365"/>
    <cellStyle name="Comma 80" xfId="510"/>
    <cellStyle name="Comma 80 2" xfId="1769"/>
    <cellStyle name="Comma 81" xfId="511"/>
    <cellStyle name="Comma 81 2" xfId="1770"/>
    <cellStyle name="Comma 82" xfId="512"/>
    <cellStyle name="Comma 82 2" xfId="1771"/>
    <cellStyle name="Comma 83" xfId="513"/>
    <cellStyle name="Comma 83 2" xfId="1772"/>
    <cellStyle name="Comma 84" xfId="514"/>
    <cellStyle name="Comma 84 2" xfId="1773"/>
    <cellStyle name="Comma 85" xfId="515"/>
    <cellStyle name="Comma 85 2" xfId="1774"/>
    <cellStyle name="Comma 86" xfId="516"/>
    <cellStyle name="Comma 86 2" xfId="1775"/>
    <cellStyle name="Comma 87" xfId="517"/>
    <cellStyle name="Comma 87 2" xfId="1776"/>
    <cellStyle name="Comma 88" xfId="518"/>
    <cellStyle name="Comma 88 2" xfId="1777"/>
    <cellStyle name="Comma 89" xfId="519"/>
    <cellStyle name="Comma 89 2" xfId="1778"/>
    <cellStyle name="Comma 9" xfId="520"/>
    <cellStyle name="Comma 9 2" xfId="1366"/>
    <cellStyle name="Comma 90" xfId="521"/>
    <cellStyle name="Comma 90 2" xfId="1779"/>
    <cellStyle name="Comma 91" xfId="522"/>
    <cellStyle name="Comma 91 2" xfId="1780"/>
    <cellStyle name="Comma 92" xfId="523"/>
    <cellStyle name="Comma 92 2" xfId="524"/>
    <cellStyle name="Comma 92 2 2" xfId="1782"/>
    <cellStyle name="Comma 92 3" xfId="525"/>
    <cellStyle name="Comma 92 3 2" xfId="1783"/>
    <cellStyle name="Comma 92 4" xfId="1781"/>
    <cellStyle name="Comma 93" xfId="526"/>
    <cellStyle name="Comma 93 2" xfId="527"/>
    <cellStyle name="Comma 93 2 2" xfId="1785"/>
    <cellStyle name="Comma 93 3" xfId="528"/>
    <cellStyle name="Comma 93 3 2" xfId="1786"/>
    <cellStyle name="Comma 93 4" xfId="1784"/>
    <cellStyle name="Comma 94" xfId="529"/>
    <cellStyle name="Comma 94 2" xfId="1787"/>
    <cellStyle name="Comma 95" xfId="530"/>
    <cellStyle name="Comma 95 2" xfId="1788"/>
    <cellStyle name="Comma 96" xfId="531"/>
    <cellStyle name="Comma 96 2" xfId="1789"/>
    <cellStyle name="Comma 97" xfId="532"/>
    <cellStyle name="Comma 97 2" xfId="1790"/>
    <cellStyle name="Comma 98" xfId="533"/>
    <cellStyle name="Comma 98 2" xfId="1791"/>
    <cellStyle name="Comma 99" xfId="534"/>
    <cellStyle name="Comma 99 2" xfId="1792"/>
    <cellStyle name="Comma_spp calc - revsd rev crd" xfId="535"/>
    <cellStyle name="Comma0" xfId="536"/>
    <cellStyle name="Comma0 2" xfId="537"/>
    <cellStyle name="Comma0 2 2" xfId="538"/>
    <cellStyle name="Comma0 2 3" xfId="539"/>
    <cellStyle name="Comma0 2 3 2" xfId="1793"/>
    <cellStyle name="Comma0 2 4" xfId="540"/>
    <cellStyle name="Comma0 2 5" xfId="541"/>
    <cellStyle name="Comma0 2 5 2" xfId="1794"/>
    <cellStyle name="Comma0 2 6" xfId="542"/>
    <cellStyle name="Comma0 2 6 2" xfId="1795"/>
    <cellStyle name="Comma0 3" xfId="543"/>
    <cellStyle name="Comma0 4" xfId="1367"/>
    <cellStyle name="Currency" xfId="1536" builtinId="4"/>
    <cellStyle name="Currency 10" xfId="544"/>
    <cellStyle name="Currency 10 2" xfId="1796"/>
    <cellStyle name="Currency 11" xfId="545"/>
    <cellStyle name="Currency 11 2" xfId="546"/>
    <cellStyle name="Currency 11 2 2" xfId="1798"/>
    <cellStyle name="Currency 11 3" xfId="547"/>
    <cellStyle name="Currency 11 3 2" xfId="1799"/>
    <cellStyle name="Currency 11 4" xfId="1797"/>
    <cellStyle name="Currency 12" xfId="548"/>
    <cellStyle name="Currency 12 2" xfId="549"/>
    <cellStyle name="Currency 12 2 2" xfId="1801"/>
    <cellStyle name="Currency 12 3" xfId="1800"/>
    <cellStyle name="Currency 13" xfId="550"/>
    <cellStyle name="Currency 13 2" xfId="1802"/>
    <cellStyle name="Currency 2" xfId="551"/>
    <cellStyle name="Currency 2 2" xfId="552"/>
    <cellStyle name="Currency 2 2 2" xfId="553"/>
    <cellStyle name="Currency 2 2 2 2" xfId="1803"/>
    <cellStyle name="Currency 2 2 3" xfId="1368"/>
    <cellStyle name="Currency 2 3" xfId="554"/>
    <cellStyle name="Currency 2 3 2" xfId="1804"/>
    <cellStyle name="Currency 2 4" xfId="1181"/>
    <cellStyle name="Currency 3" xfId="555"/>
    <cellStyle name="Currency 3 10" xfId="556"/>
    <cellStyle name="Currency 3 10 2" xfId="557"/>
    <cellStyle name="Currency 3 10 2 2" xfId="1806"/>
    <cellStyle name="Currency 3 10 3" xfId="558"/>
    <cellStyle name="Currency 3 10 3 2" xfId="1807"/>
    <cellStyle name="Currency 3 10 4" xfId="1805"/>
    <cellStyle name="Currency 3 11" xfId="559"/>
    <cellStyle name="Currency 3 11 2" xfId="560"/>
    <cellStyle name="Currency 3 11 2 2" xfId="1809"/>
    <cellStyle name="Currency 3 11 3" xfId="1808"/>
    <cellStyle name="Currency 3 12" xfId="561"/>
    <cellStyle name="Currency 3 12 2" xfId="562"/>
    <cellStyle name="Currency 3 12 2 2" xfId="1811"/>
    <cellStyle name="Currency 3 12 3" xfId="1810"/>
    <cellStyle name="Currency 3 13" xfId="563"/>
    <cellStyle name="Currency 3 13 2" xfId="564"/>
    <cellStyle name="Currency 3 13 2 2" xfId="1813"/>
    <cellStyle name="Currency 3 13 3" xfId="1812"/>
    <cellStyle name="Currency 3 14" xfId="565"/>
    <cellStyle name="Currency 3 14 2" xfId="1814"/>
    <cellStyle name="Currency 3 15" xfId="1369"/>
    <cellStyle name="Currency 3 2" xfId="566"/>
    <cellStyle name="Currency 3 2 2" xfId="567"/>
    <cellStyle name="Currency 3 2 2 2" xfId="1815"/>
    <cellStyle name="Currency 3 2 3" xfId="1483"/>
    <cellStyle name="Currency 3 3" xfId="568"/>
    <cellStyle name="Currency 3 3 2" xfId="569"/>
    <cellStyle name="Currency 3 3 2 2" xfId="570"/>
    <cellStyle name="Currency 3 3 2 2 2" xfId="1817"/>
    <cellStyle name="Currency 3 3 2 3" xfId="571"/>
    <cellStyle name="Currency 3 3 2 3 2" xfId="1818"/>
    <cellStyle name="Currency 3 3 2 4" xfId="1816"/>
    <cellStyle name="Currency 3 3 3" xfId="572"/>
    <cellStyle name="Currency 3 3 3 2" xfId="573"/>
    <cellStyle name="Currency 3 3 3 2 2" xfId="574"/>
    <cellStyle name="Currency 3 3 3 2 2 2" xfId="1821"/>
    <cellStyle name="Currency 3 3 3 2 3" xfId="575"/>
    <cellStyle name="Currency 3 3 3 2 3 2" xfId="1822"/>
    <cellStyle name="Currency 3 3 3 2 4" xfId="576"/>
    <cellStyle name="Currency 3 3 3 2 4 2" xfId="1823"/>
    <cellStyle name="Currency 3 3 3 2 5" xfId="577"/>
    <cellStyle name="Currency 3 3 3 2 5 2" xfId="1824"/>
    <cellStyle name="Currency 3 3 3 2 6" xfId="1820"/>
    <cellStyle name="Currency 3 3 3 3" xfId="578"/>
    <cellStyle name="Currency 3 3 3 3 2" xfId="1825"/>
    <cellStyle name="Currency 3 3 3 4" xfId="1819"/>
    <cellStyle name="Currency 3 3 4" xfId="579"/>
    <cellStyle name="Currency 3 3 4 2" xfId="1826"/>
    <cellStyle name="Currency 3 3 5" xfId="580"/>
    <cellStyle name="Currency 3 3 5 2" xfId="581"/>
    <cellStyle name="Currency 3 3 5 2 2" xfId="1828"/>
    <cellStyle name="Currency 3 3 5 3" xfId="582"/>
    <cellStyle name="Currency 3 3 5 3 2" xfId="1829"/>
    <cellStyle name="Currency 3 3 5 4" xfId="583"/>
    <cellStyle name="Currency 3 3 5 4 2" xfId="1830"/>
    <cellStyle name="Currency 3 3 5 5" xfId="584"/>
    <cellStyle name="Currency 3 3 5 5 2" xfId="1831"/>
    <cellStyle name="Currency 3 3 5 6" xfId="1827"/>
    <cellStyle name="Currency 3 3 6" xfId="585"/>
    <cellStyle name="Currency 3 3 6 2" xfId="1832"/>
    <cellStyle name="Currency 3 3 7" xfId="1482"/>
    <cellStyle name="Currency 3 4" xfId="586"/>
    <cellStyle name="Currency 3 4 2" xfId="587"/>
    <cellStyle name="Currency 3 4 2 2" xfId="1834"/>
    <cellStyle name="Currency 3 4 3" xfId="588"/>
    <cellStyle name="Currency 3 4 3 2" xfId="1835"/>
    <cellStyle name="Currency 3 4 4" xfId="589"/>
    <cellStyle name="Currency 3 4 4 2" xfId="590"/>
    <cellStyle name="Currency 3 4 4 2 2" xfId="1837"/>
    <cellStyle name="Currency 3 4 4 3" xfId="591"/>
    <cellStyle name="Currency 3 4 4 3 2" xfId="1838"/>
    <cellStyle name="Currency 3 4 4 4" xfId="592"/>
    <cellStyle name="Currency 3 4 4 4 2" xfId="1839"/>
    <cellStyle name="Currency 3 4 4 5" xfId="593"/>
    <cellStyle name="Currency 3 4 4 5 2" xfId="1840"/>
    <cellStyle name="Currency 3 4 4 6" xfId="1836"/>
    <cellStyle name="Currency 3 4 5" xfId="594"/>
    <cellStyle name="Currency 3 4 5 2" xfId="1841"/>
    <cellStyle name="Currency 3 4 6" xfId="1521"/>
    <cellStyle name="Currency 3 4 6 2" xfId="2165"/>
    <cellStyle name="Currency 3 4 7" xfId="1833"/>
    <cellStyle name="Currency 3 5" xfId="595"/>
    <cellStyle name="Currency 3 5 2" xfId="596"/>
    <cellStyle name="Currency 3 5 2 2" xfId="1843"/>
    <cellStyle name="Currency 3 5 3" xfId="1842"/>
    <cellStyle name="Currency 3 6" xfId="597"/>
    <cellStyle name="Currency 3 6 2" xfId="1128"/>
    <cellStyle name="Currency 3 6 2 2" xfId="2095"/>
    <cellStyle name="Currency 3 6 3" xfId="1844"/>
    <cellStyle name="Currency 3 7" xfId="598"/>
    <cellStyle name="Currency 3 7 2" xfId="1845"/>
    <cellStyle name="Currency 3 8" xfId="599"/>
    <cellStyle name="Currency 3 8 2" xfId="1846"/>
    <cellStyle name="Currency 3 9" xfId="600"/>
    <cellStyle name="Currency 3 9 2" xfId="1847"/>
    <cellStyle name="Currency 4" xfId="601"/>
    <cellStyle name="Currency 4 10" xfId="602"/>
    <cellStyle name="Currency 4 10 2" xfId="603"/>
    <cellStyle name="Currency 4 10 2 2" xfId="604"/>
    <cellStyle name="Currency 4 10 2 2 2" xfId="605"/>
    <cellStyle name="Currency 4 10 2 3" xfId="606"/>
    <cellStyle name="Currency 4 10 2 3 2" xfId="607"/>
    <cellStyle name="Currency 4 10 2 4" xfId="608"/>
    <cellStyle name="Currency 4 10 2 5" xfId="609"/>
    <cellStyle name="Currency 4 10 2 6" xfId="610"/>
    <cellStyle name="Currency 4 10 2 6 2" xfId="1848"/>
    <cellStyle name="Currency 4 10 3" xfId="611"/>
    <cellStyle name="Currency 4 10 3 2" xfId="612"/>
    <cellStyle name="Currency 4 10 4" xfId="613"/>
    <cellStyle name="Currency 4 10 4 2" xfId="614"/>
    <cellStyle name="Currency 4 10 4 3" xfId="615"/>
    <cellStyle name="Currency 4 10 5" xfId="616"/>
    <cellStyle name="Currency 4 10 5 2" xfId="617"/>
    <cellStyle name="Currency 4 10 6" xfId="618"/>
    <cellStyle name="Currency 4 2" xfId="619"/>
    <cellStyle name="Currency 4 2 2" xfId="620"/>
    <cellStyle name="Currency 4 2 2 2" xfId="1850"/>
    <cellStyle name="Currency 4 2 3" xfId="621"/>
    <cellStyle name="Currency 4 2 3 2" xfId="1851"/>
    <cellStyle name="Currency 4 2 4" xfId="1849"/>
    <cellStyle name="Currency 4 3" xfId="622"/>
    <cellStyle name="Currency 4 3 2" xfId="623"/>
    <cellStyle name="Currency 4 3 2 2" xfId="624"/>
    <cellStyle name="Currency 4 3 2 2 2" xfId="1854"/>
    <cellStyle name="Currency 4 3 2 3" xfId="625"/>
    <cellStyle name="Currency 4 3 2 3 2" xfId="1855"/>
    <cellStyle name="Currency 4 3 2 4" xfId="626"/>
    <cellStyle name="Currency 4 3 2 4 2" xfId="1856"/>
    <cellStyle name="Currency 4 3 2 5" xfId="627"/>
    <cellStyle name="Currency 4 3 2 5 2" xfId="1857"/>
    <cellStyle name="Currency 4 3 2 6" xfId="1853"/>
    <cellStyle name="Currency 4 3 3" xfId="628"/>
    <cellStyle name="Currency 4 3 3 2" xfId="1858"/>
    <cellStyle name="Currency 4 3 4" xfId="1852"/>
    <cellStyle name="Currency 4 4" xfId="629"/>
    <cellStyle name="Currency 4 4 2" xfId="1859"/>
    <cellStyle name="Currency 4 5" xfId="630"/>
    <cellStyle name="Currency 4 5 2" xfId="631"/>
    <cellStyle name="Currency 4 5 2 2" xfId="1861"/>
    <cellStyle name="Currency 4 5 3" xfId="632"/>
    <cellStyle name="Currency 4 5 3 2" xfId="1862"/>
    <cellStyle name="Currency 4 5 4" xfId="633"/>
    <cellStyle name="Currency 4 5 4 2" xfId="1863"/>
    <cellStyle name="Currency 4 5 5" xfId="634"/>
    <cellStyle name="Currency 4 5 5 2" xfId="1864"/>
    <cellStyle name="Currency 4 5 6" xfId="1860"/>
    <cellStyle name="Currency 4 6" xfId="1160"/>
    <cellStyle name="Currency 4 6 2" xfId="2125"/>
    <cellStyle name="Currency 4 7" xfId="1370"/>
    <cellStyle name="Currency 5" xfId="635"/>
    <cellStyle name="Currency 5 2" xfId="636"/>
    <cellStyle name="Currency 5 2 2" xfId="1372"/>
    <cellStyle name="Currency 5 3" xfId="637"/>
    <cellStyle name="Currency 5 3 2" xfId="1865"/>
    <cellStyle name="Currency 5 4" xfId="638"/>
    <cellStyle name="Currency 5 4 2" xfId="639"/>
    <cellStyle name="Currency 5 4 2 2" xfId="1867"/>
    <cellStyle name="Currency 5 4 3" xfId="640"/>
    <cellStyle name="Currency 5 4 3 2" xfId="1868"/>
    <cellStyle name="Currency 5 4 4" xfId="641"/>
    <cellStyle name="Currency 5 4 4 2" xfId="1869"/>
    <cellStyle name="Currency 5 4 5" xfId="642"/>
    <cellStyle name="Currency 5 4 5 2" xfId="1870"/>
    <cellStyle name="Currency 5 4 6" xfId="1866"/>
    <cellStyle name="Currency 5 5" xfId="643"/>
    <cellStyle name="Currency 5 5 2" xfId="1871"/>
    <cellStyle name="Currency 5 6" xfId="1371"/>
    <cellStyle name="Currency 6" xfId="644"/>
    <cellStyle name="Currency 6 2" xfId="645"/>
    <cellStyle name="Currency 6 2 2" xfId="1373"/>
    <cellStyle name="Currency 6 2 3" xfId="1873"/>
    <cellStyle name="Currency 6 3" xfId="646"/>
    <cellStyle name="Currency 6 3 2" xfId="647"/>
    <cellStyle name="Currency 6 3 2 2" xfId="1875"/>
    <cellStyle name="Currency 6 3 3" xfId="648"/>
    <cellStyle name="Currency 6 3 3 2" xfId="1876"/>
    <cellStyle name="Currency 6 3 4" xfId="649"/>
    <cellStyle name="Currency 6 3 4 2" xfId="1877"/>
    <cellStyle name="Currency 6 3 5" xfId="650"/>
    <cellStyle name="Currency 6 3 5 2" xfId="1878"/>
    <cellStyle name="Currency 6 3 6" xfId="1874"/>
    <cellStyle name="Currency 6 4" xfId="651"/>
    <cellStyle name="Currency 6 4 2" xfId="652"/>
    <cellStyle name="Currency 6 4 3" xfId="653"/>
    <cellStyle name="Currency 6 5" xfId="1161"/>
    <cellStyle name="Currency 6 5 2" xfId="2126"/>
    <cellStyle name="Currency 6 6" xfId="1872"/>
    <cellStyle name="Currency 7" xfId="654"/>
    <cellStyle name="Currency 7 2" xfId="1204"/>
    <cellStyle name="Currency 7 3" xfId="1879"/>
    <cellStyle name="Currency 8" xfId="655"/>
    <cellStyle name="Currency 8 2" xfId="1481"/>
    <cellStyle name="Currency 9" xfId="656"/>
    <cellStyle name="Currency 9 2" xfId="1880"/>
    <cellStyle name="Currency0" xfId="657"/>
    <cellStyle name="Currency0 2" xfId="658"/>
    <cellStyle name="Currency0 2 2" xfId="659"/>
    <cellStyle name="Currency0 2 3" xfId="660"/>
    <cellStyle name="Currency0 2 3 2" xfId="1881"/>
    <cellStyle name="Currency0 2 4" xfId="661"/>
    <cellStyle name="Currency0 2 5" xfId="662"/>
    <cellStyle name="Currency0 2 5 2" xfId="1882"/>
    <cellStyle name="Currency0 2 6" xfId="663"/>
    <cellStyle name="Currency0 2 6 2" xfId="1883"/>
    <cellStyle name="Currency0 3" xfId="664"/>
    <cellStyle name="Currency0 4" xfId="1374"/>
    <cellStyle name="Date" xfId="665"/>
    <cellStyle name="Date 2" xfId="666"/>
    <cellStyle name="Date 2 2" xfId="667"/>
    <cellStyle name="Date 2 3" xfId="668"/>
    <cellStyle name="Date 2 3 2" xfId="1884"/>
    <cellStyle name="Date 2 4" xfId="669"/>
    <cellStyle name="Date 2 5" xfId="670"/>
    <cellStyle name="Date 2 5 2" xfId="1885"/>
    <cellStyle name="Date 2 6" xfId="671"/>
    <cellStyle name="Date 2 6 2" xfId="1886"/>
    <cellStyle name="Date 3" xfId="672"/>
    <cellStyle name="Date 4" xfId="1375"/>
    <cellStyle name="Explanatory Text" xfId="673" builtinId="53" customBuiltin="1"/>
    <cellStyle name="Explanatory Text 2" xfId="674"/>
    <cellStyle name="Explanatory Text 2 2" xfId="675"/>
    <cellStyle name="Explanatory Text 2 3" xfId="676"/>
    <cellStyle name="Explanatory Text 2 4" xfId="677"/>
    <cellStyle name="Explanatory Text 2 5" xfId="678"/>
    <cellStyle name="Explanatory Text 3" xfId="1376"/>
    <cellStyle name="Explanatory Text 4" xfId="1484"/>
    <cellStyle name="Fixed" xfId="679"/>
    <cellStyle name="Fixed 2" xfId="680"/>
    <cellStyle name="Fixed 2 2" xfId="681"/>
    <cellStyle name="Fixed 2 3" xfId="682"/>
    <cellStyle name="Fixed 2 3 2" xfId="1887"/>
    <cellStyle name="Fixed 2 4" xfId="683"/>
    <cellStyle name="Fixed 2 5" xfId="684"/>
    <cellStyle name="Fixed 2 5 2" xfId="1888"/>
    <cellStyle name="Fixed 2 6" xfId="685"/>
    <cellStyle name="Fixed 2 6 2" xfId="1889"/>
    <cellStyle name="Fixed 3" xfId="686"/>
    <cellStyle name="Fixed 4" xfId="1377"/>
    <cellStyle name="Good" xfId="687" builtinId="26" customBuiltin="1"/>
    <cellStyle name="Good 2" xfId="688"/>
    <cellStyle name="Good 2 2" xfId="689"/>
    <cellStyle name="Good 2 3" xfId="690"/>
    <cellStyle name="Good 2 4" xfId="691"/>
    <cellStyle name="Good 2 5" xfId="692"/>
    <cellStyle name="Good 3" xfId="1378"/>
    <cellStyle name="Good 4" xfId="1485"/>
    <cellStyle name="Heading 1" xfId="693" builtinId="16" customBuiltin="1"/>
    <cellStyle name="Heading 1 2" xfId="694"/>
    <cellStyle name="Heading 1 2 2" xfId="695"/>
    <cellStyle name="Heading 1 2 3" xfId="696"/>
    <cellStyle name="Heading 1 2 4" xfId="697"/>
    <cellStyle name="Heading 1 2 5" xfId="698"/>
    <cellStyle name="Heading 1 2 6" xfId="1379"/>
    <cellStyle name="Heading 1 3" xfId="699"/>
    <cellStyle name="Heading 1 3 2" xfId="700"/>
    <cellStyle name="Heading 1 3 3" xfId="1380"/>
    <cellStyle name="Heading 1 4" xfId="1381"/>
    <cellStyle name="Heading 2" xfId="701" builtinId="17" customBuiltin="1"/>
    <cellStyle name="Heading 2 2" xfId="702"/>
    <cellStyle name="Heading 2 2 2" xfId="703"/>
    <cellStyle name="Heading 2 2 3" xfId="704"/>
    <cellStyle name="Heading 2 2 4" xfId="705"/>
    <cellStyle name="Heading 2 2 5" xfId="706"/>
    <cellStyle name="Heading 2 2 6" xfId="1382"/>
    <cellStyle name="Heading 2 3" xfId="707"/>
    <cellStyle name="Heading 2 3 2" xfId="708"/>
    <cellStyle name="Heading 2 3 3" xfId="1383"/>
    <cellStyle name="Heading 2 4" xfId="1384"/>
    <cellStyle name="Heading 3" xfId="709" builtinId="18" customBuiltin="1"/>
    <cellStyle name="Heading 3 2" xfId="710"/>
    <cellStyle name="Heading 3 2 2" xfId="711"/>
    <cellStyle name="Heading 3 2 3" xfId="712"/>
    <cellStyle name="Heading 3 2 4" xfId="713"/>
    <cellStyle name="Heading 3 2 5" xfId="714"/>
    <cellStyle name="Heading 3 2 6" xfId="1385"/>
    <cellStyle name="Heading 3 3" xfId="1386"/>
    <cellStyle name="Heading 3 4" xfId="1387"/>
    <cellStyle name="Heading 3 5" xfId="1486"/>
    <cellStyle name="Heading 4" xfId="715" builtinId="19" customBuiltin="1"/>
    <cellStyle name="Heading 4 2" xfId="716"/>
    <cellStyle name="Heading 4 2 2" xfId="717"/>
    <cellStyle name="Heading 4 2 3" xfId="718"/>
    <cellStyle name="Heading 4 2 4" xfId="719"/>
    <cellStyle name="Heading 4 2 5" xfId="720"/>
    <cellStyle name="Heading 4 2 6" xfId="1388"/>
    <cellStyle name="Heading 4 3" xfId="1389"/>
    <cellStyle name="Heading 4 4" xfId="1390"/>
    <cellStyle name="Heading 4 5" xfId="1487"/>
    <cellStyle name="Heading1" xfId="721"/>
    <cellStyle name="Heading2" xfId="722"/>
    <cellStyle name="Hyperlink 2" xfId="1391"/>
    <cellStyle name="Hyperlink 3" xfId="1392"/>
    <cellStyle name="Hyperlink 4" xfId="1393"/>
    <cellStyle name="Input" xfId="723" builtinId="20" customBuiltin="1"/>
    <cellStyle name="Input 2" xfId="724"/>
    <cellStyle name="Input 2 2" xfId="725"/>
    <cellStyle name="Input 2 3" xfId="726"/>
    <cellStyle name="Input 2 4" xfId="727"/>
    <cellStyle name="Input 2 5" xfId="728"/>
    <cellStyle name="Input 3" xfId="1394"/>
    <cellStyle name="Input 4" xfId="1488"/>
    <cellStyle name="Linked Cell" xfId="729" builtinId="24" customBuiltin="1"/>
    <cellStyle name="Linked Cell 2" xfId="730"/>
    <cellStyle name="Linked Cell 2 2" xfId="731"/>
    <cellStyle name="Linked Cell 2 3" xfId="732"/>
    <cellStyle name="Linked Cell 2 4" xfId="733"/>
    <cellStyle name="Linked Cell 2 5" xfId="734"/>
    <cellStyle name="Linked Cell 3" xfId="1395"/>
    <cellStyle name="Linked Cell 4" xfId="1489"/>
    <cellStyle name="M" xfId="735"/>
    <cellStyle name="M 2" xfId="736"/>
    <cellStyle name="M 2 2" xfId="737"/>
    <cellStyle name="M 2 2 2" xfId="738"/>
    <cellStyle name="M 2 2 2 2" xfId="1893"/>
    <cellStyle name="M 2 2 3" xfId="1892"/>
    <cellStyle name="M 2 3" xfId="1891"/>
    <cellStyle name="M 3" xfId="739"/>
    <cellStyle name="M 3 2" xfId="740"/>
    <cellStyle name="M 3 2 2" xfId="741"/>
    <cellStyle name="M 3 2 2 2" xfId="1896"/>
    <cellStyle name="M 3 2 3" xfId="1895"/>
    <cellStyle name="M 3 3" xfId="1894"/>
    <cellStyle name="M 4" xfId="742"/>
    <cellStyle name="M 4 2" xfId="1897"/>
    <cellStyle name="M 5" xfId="743"/>
    <cellStyle name="M 5 2" xfId="744"/>
    <cellStyle name="M 5 2 2" xfId="1899"/>
    <cellStyle name="M 5 3" xfId="1898"/>
    <cellStyle name="M 6" xfId="745"/>
    <cellStyle name="M 6 2" xfId="746"/>
    <cellStyle name="M 6 2 2" xfId="1901"/>
    <cellStyle name="M 6 3" xfId="1900"/>
    <cellStyle name="M 7" xfId="747"/>
    <cellStyle name="M 7 2" xfId="1902"/>
    <cellStyle name="M 8" xfId="1890"/>
    <cellStyle name="Neutral" xfId="748" builtinId="28" customBuiltin="1"/>
    <cellStyle name="Neutral 2" xfId="749"/>
    <cellStyle name="Neutral 2 2" xfId="750"/>
    <cellStyle name="Neutral 2 3" xfId="751"/>
    <cellStyle name="Neutral 2 4" xfId="752"/>
    <cellStyle name="Neutral 2 5" xfId="753"/>
    <cellStyle name="Neutral 3" xfId="1396"/>
    <cellStyle name="Neutral 4" xfId="1490"/>
    <cellStyle name="Normal" xfId="0" builtinId="0"/>
    <cellStyle name="Normal 10" xfId="754"/>
    <cellStyle name="Normal 10 2" xfId="755"/>
    <cellStyle name="Normal 10 2 2" xfId="756"/>
    <cellStyle name="Normal 10 2 2 2" xfId="1904"/>
    <cellStyle name="Normal 10 2 3" xfId="1398"/>
    <cellStyle name="Normal 10 3" xfId="757"/>
    <cellStyle name="Normal 10 3 2" xfId="1905"/>
    <cellStyle name="Normal 10 4" xfId="1397"/>
    <cellStyle name="Normal 10 5" xfId="1903"/>
    <cellStyle name="Normal 11" xfId="758"/>
    <cellStyle name="Normal 11 2" xfId="759"/>
    <cellStyle name="Normal 11 2 2" xfId="760"/>
    <cellStyle name="Normal 11 2 2 2" xfId="1528"/>
    <cellStyle name="Normal 11 2 3" xfId="1400"/>
    <cellStyle name="Normal 11 3" xfId="761"/>
    <cellStyle name="Normal 11 3 2" xfId="1162"/>
    <cellStyle name="Normal 11 3 2 2" xfId="2127"/>
    <cellStyle name="Normal 11 3 3" xfId="1906"/>
    <cellStyle name="Normal 11 4" xfId="762"/>
    <cellStyle name="Normal 11 4 2" xfId="1907"/>
    <cellStyle name="Normal 11 5" xfId="1399"/>
    <cellStyle name="Normal 12" xfId="763"/>
    <cellStyle name="Normal 12 2" xfId="764"/>
    <cellStyle name="Normal 12 2 2" xfId="1163"/>
    <cellStyle name="Normal 12 2 2 2" xfId="2128"/>
    <cellStyle name="Normal 12 2 3" xfId="1402"/>
    <cellStyle name="Normal 12 3" xfId="765"/>
    <cellStyle name="Normal 12 4" xfId="766"/>
    <cellStyle name="Normal 12 4 2" xfId="1164"/>
    <cellStyle name="Normal 12 4 2 2" xfId="2129"/>
    <cellStyle name="Normal 12 4 3" xfId="1909"/>
    <cellStyle name="Normal 12 5" xfId="767"/>
    <cellStyle name="Normal 12 5 2" xfId="1910"/>
    <cellStyle name="Normal 12 6" xfId="1401"/>
    <cellStyle name="Normal 12 7" xfId="1908"/>
    <cellStyle name="Normal 13" xfId="768"/>
    <cellStyle name="Normal 13 2" xfId="1129"/>
    <cellStyle name="Normal 13 2 2" xfId="2096"/>
    <cellStyle name="Normal 13 3" xfId="1403"/>
    <cellStyle name="Normal 13 4" xfId="1911"/>
    <cellStyle name="Normal 14" xfId="769"/>
    <cellStyle name="Normal 14 2" xfId="1130"/>
    <cellStyle name="Normal 14 2 2" xfId="2097"/>
    <cellStyle name="Normal 14 3" xfId="1404"/>
    <cellStyle name="Normal 14 3 2" xfId="2159"/>
    <cellStyle name="Normal 14 4" xfId="1912"/>
    <cellStyle name="Normal 15" xfId="770"/>
    <cellStyle name="Normal 15 2" xfId="1206"/>
    <cellStyle name="Normal 16" xfId="771"/>
    <cellStyle name="Normal 16 2" xfId="1131"/>
    <cellStyle name="Normal 16 2 2" xfId="2098"/>
    <cellStyle name="Normal 16 3" xfId="1207"/>
    <cellStyle name="Normal 16 3 2" xfId="2154"/>
    <cellStyle name="Normal 16 4" xfId="1913"/>
    <cellStyle name="Normal 17" xfId="772"/>
    <cellStyle name="Normal 17 2" xfId="1132"/>
    <cellStyle name="Normal 17 2 2" xfId="2099"/>
    <cellStyle name="Normal 17 3" xfId="1202"/>
    <cellStyle name="Normal 17 3 2" xfId="2153"/>
    <cellStyle name="Normal 17 4" xfId="1914"/>
    <cellStyle name="Normal 18" xfId="773"/>
    <cellStyle name="Normal 18 2" xfId="1133"/>
    <cellStyle name="Normal 18 2 2" xfId="2100"/>
    <cellStyle name="Normal 18 3" xfId="1209"/>
    <cellStyle name="Normal 18 3 2" xfId="2155"/>
    <cellStyle name="Normal 18 4" xfId="1915"/>
    <cellStyle name="Normal 19" xfId="774"/>
    <cellStyle name="Normal 19 2" xfId="1134"/>
    <cellStyle name="Normal 19 2 2" xfId="2101"/>
    <cellStyle name="Normal 19 3" xfId="1203"/>
    <cellStyle name="Normal 19 4" xfId="1916"/>
    <cellStyle name="Normal 2" xfId="775"/>
    <cellStyle name="Normal 2 2" xfId="776"/>
    <cellStyle name="Normal 2 2 2" xfId="777"/>
    <cellStyle name="Normal 2 2 2 2" xfId="778"/>
    <cellStyle name="Normal 2 2 2 3" xfId="1917"/>
    <cellStyle name="Normal 2 2 3" xfId="779"/>
    <cellStyle name="Normal 2 2 3 2" xfId="780"/>
    <cellStyle name="Normal 2 2 3 2 2" xfId="1918"/>
    <cellStyle name="Normal 2 2 4" xfId="781"/>
    <cellStyle name="Normal 2 2 4 2" xfId="1919"/>
    <cellStyle name="Normal 2 2 5" xfId="1208"/>
    <cellStyle name="Normal 2 3" xfId="782"/>
    <cellStyle name="Normal 2 3 2" xfId="1406"/>
    <cellStyle name="Normal 2 4" xfId="1178"/>
    <cellStyle name="Normal 2 4 2" xfId="1407"/>
    <cellStyle name="Normal 2 5" xfId="1125"/>
    <cellStyle name="Normal 2 5 2" xfId="1135"/>
    <cellStyle name="Normal 2 5 2 2" xfId="1523"/>
    <cellStyle name="Normal 2 5 3" xfId="1522"/>
    <cellStyle name="Normal 2 5 3 2" xfId="2166"/>
    <cellStyle name="Normal 2 6" xfId="1405"/>
    <cellStyle name="Normal 20" xfId="783"/>
    <cellStyle name="Normal 20 2" xfId="1136"/>
    <cellStyle name="Normal 20 2 2" xfId="2102"/>
    <cellStyle name="Normal 20 3" xfId="1519"/>
    <cellStyle name="Normal 20 4" xfId="1920"/>
    <cellStyle name="Normal 21" xfId="784"/>
    <cellStyle name="Normal 21 2" xfId="1137"/>
    <cellStyle name="Normal 21 2 2" xfId="2103"/>
    <cellStyle name="Normal 21 3" xfId="1921"/>
    <cellStyle name="Normal 22" xfId="785"/>
    <cellStyle name="Normal 22 2" xfId="1138"/>
    <cellStyle name="Normal 22 2 2" xfId="2104"/>
    <cellStyle name="Normal 22 3" xfId="1922"/>
    <cellStyle name="Normal 23" xfId="786"/>
    <cellStyle name="Normal 23 2" xfId="1139"/>
    <cellStyle name="Normal 23 2 2" xfId="2105"/>
    <cellStyle name="Normal 23 3" xfId="1923"/>
    <cellStyle name="Normal 24" xfId="787"/>
    <cellStyle name="Normal 24 2" xfId="1140"/>
    <cellStyle name="Normal 24 2 2" xfId="2106"/>
    <cellStyle name="Normal 24 3" xfId="1924"/>
    <cellStyle name="Normal 25" xfId="788"/>
    <cellStyle name="Normal 25 2" xfId="1141"/>
    <cellStyle name="Normal 25 2 2" xfId="2107"/>
    <cellStyle name="Normal 25 3" xfId="1925"/>
    <cellStyle name="Normal 26" xfId="789"/>
    <cellStyle name="Normal 26 2" xfId="1142"/>
    <cellStyle name="Normal 26 2 2" xfId="2108"/>
    <cellStyle name="Normal 26 3" xfId="1926"/>
    <cellStyle name="Normal 27" xfId="1143"/>
    <cellStyle name="Normal 27 2" xfId="2109"/>
    <cellStyle name="Normal 28" xfId="1144"/>
    <cellStyle name="Normal 28 2" xfId="1145"/>
    <cellStyle name="Normal 28 2 2" xfId="2111"/>
    <cellStyle name="Normal 28 3" xfId="2110"/>
    <cellStyle name="Normal 29" xfId="1146"/>
    <cellStyle name="Normal 29 2" xfId="1147"/>
    <cellStyle name="Normal 29 2 2" xfId="2113"/>
    <cellStyle name="Normal 29 3" xfId="2112"/>
    <cellStyle name="Normal 3" xfId="790"/>
    <cellStyle name="Normal 3 2" xfId="791"/>
    <cellStyle name="Normal 3 2 2" xfId="792"/>
    <cellStyle name="Normal 3 2 2 2" xfId="1409"/>
    <cellStyle name="Normal 3 2 3" xfId="1172"/>
    <cellStyle name="Normal 3 3" xfId="793"/>
    <cellStyle name="Normal 3 3 2" xfId="794"/>
    <cellStyle name="Normal 3 3 2 2" xfId="1927"/>
    <cellStyle name="Normal 3 3 3" xfId="795"/>
    <cellStyle name="Normal 3 3 4" xfId="796"/>
    <cellStyle name="Normal 3 3 4 2" xfId="1928"/>
    <cellStyle name="Normal 3 3 5" xfId="797"/>
    <cellStyle name="Normal 3 3 5 2" xfId="1929"/>
    <cellStyle name="Normal 3 3 6" xfId="1410"/>
    <cellStyle name="Normal 3 4" xfId="1408"/>
    <cellStyle name="Normal 3 4 2" xfId="2160"/>
    <cellStyle name="Normal 3_Attach O, GG, Support -New Method 2-14-11" xfId="1148"/>
    <cellStyle name="Normal 30" xfId="1185"/>
    <cellStyle name="Normal 30 2" xfId="2137"/>
    <cellStyle name="Normal 35" xfId="798"/>
    <cellStyle name="Normal 35 2" xfId="1532"/>
    <cellStyle name="Normal 4" xfId="799"/>
    <cellStyle name="Normal 4 10" xfId="800"/>
    <cellStyle name="Normal 4 10 2" xfId="801"/>
    <cellStyle name="Normal 4 10 2 2" xfId="1931"/>
    <cellStyle name="Normal 4 10 3" xfId="802"/>
    <cellStyle name="Normal 4 10 3 2" xfId="1932"/>
    <cellStyle name="Normal 4 10 4" xfId="1930"/>
    <cellStyle name="Normal 4 11" xfId="803"/>
    <cellStyle name="Normal 4 11 2" xfId="804"/>
    <cellStyle name="Normal 4 11 2 2" xfId="1934"/>
    <cellStyle name="Normal 4 11 3" xfId="1933"/>
    <cellStyle name="Normal 4 12" xfId="805"/>
    <cellStyle name="Normal 4 12 2" xfId="806"/>
    <cellStyle name="Normal 4 12 2 2" xfId="1936"/>
    <cellStyle name="Normal 4 12 3" xfId="1935"/>
    <cellStyle name="Normal 4 13" xfId="807"/>
    <cellStyle name="Normal 4 13 2" xfId="808"/>
    <cellStyle name="Normal 4 13 2 2" xfId="1938"/>
    <cellStyle name="Normal 4 13 3" xfId="1937"/>
    <cellStyle name="Normal 4 14" xfId="809"/>
    <cellStyle name="Normal 4 14 2" xfId="1939"/>
    <cellStyle name="Normal 4 2" xfId="810"/>
    <cellStyle name="Normal 4 2 2" xfId="811"/>
    <cellStyle name="Normal 4 2 2 2" xfId="1492"/>
    <cellStyle name="Normal 4 2 3" xfId="1411"/>
    <cellStyle name="Normal 4 3" xfId="812"/>
    <cellStyle name="Normal 4 3 2" xfId="813"/>
    <cellStyle name="Normal 4 3 2 2" xfId="814"/>
    <cellStyle name="Normal 4 3 2 2 2" xfId="1941"/>
    <cellStyle name="Normal 4 3 2 3" xfId="815"/>
    <cellStyle name="Normal 4 3 2 3 2" xfId="1942"/>
    <cellStyle name="Normal 4 3 2 4" xfId="1940"/>
    <cellStyle name="Normal 4 3 3" xfId="816"/>
    <cellStyle name="Normal 4 3 3 2" xfId="817"/>
    <cellStyle name="Normal 4 3 3 2 2" xfId="818"/>
    <cellStyle name="Normal 4 3 3 2 2 2" xfId="1945"/>
    <cellStyle name="Normal 4 3 3 2 3" xfId="819"/>
    <cellStyle name="Normal 4 3 3 2 3 2" xfId="1946"/>
    <cellStyle name="Normal 4 3 3 2 4" xfId="820"/>
    <cellStyle name="Normal 4 3 3 2 4 2" xfId="1947"/>
    <cellStyle name="Normal 4 3 3 2 5" xfId="821"/>
    <cellStyle name="Normal 4 3 3 2 5 2" xfId="1948"/>
    <cellStyle name="Normal 4 3 3 2 6" xfId="1944"/>
    <cellStyle name="Normal 4 3 3 3" xfId="822"/>
    <cellStyle name="Normal 4 3 3 3 2" xfId="1949"/>
    <cellStyle name="Normal 4 3 3 4" xfId="1943"/>
    <cellStyle name="Normal 4 3 4" xfId="823"/>
    <cellStyle name="Normal 4 3 4 2" xfId="1950"/>
    <cellStyle name="Normal 4 3 5" xfId="824"/>
    <cellStyle name="Normal 4 3 5 2" xfId="825"/>
    <cellStyle name="Normal 4 3 5 2 2" xfId="1952"/>
    <cellStyle name="Normal 4 3 5 3" xfId="826"/>
    <cellStyle name="Normal 4 3 5 3 2" xfId="1953"/>
    <cellStyle name="Normal 4 3 5 4" xfId="827"/>
    <cellStyle name="Normal 4 3 5 4 2" xfId="1954"/>
    <cellStyle name="Normal 4 3 5 5" xfId="828"/>
    <cellStyle name="Normal 4 3 5 5 2" xfId="1955"/>
    <cellStyle name="Normal 4 3 5 6" xfId="1951"/>
    <cellStyle name="Normal 4 3 6" xfId="829"/>
    <cellStyle name="Normal 4 3 6 2" xfId="1956"/>
    <cellStyle name="Normal 4 3 7" xfId="1412"/>
    <cellStyle name="Normal 4 4" xfId="830"/>
    <cellStyle name="Normal 4 4 2" xfId="831"/>
    <cellStyle name="Normal 4 4 2 2" xfId="1957"/>
    <cellStyle name="Normal 4 4 3" xfId="832"/>
    <cellStyle name="Normal 4 4 3 2" xfId="1958"/>
    <cellStyle name="Normal 4 4 4" xfId="833"/>
    <cellStyle name="Normal 4 4 4 2" xfId="834"/>
    <cellStyle name="Normal 4 4 4 2 2" xfId="1960"/>
    <cellStyle name="Normal 4 4 4 3" xfId="835"/>
    <cellStyle name="Normal 4 4 4 3 2" xfId="1961"/>
    <cellStyle name="Normal 4 4 4 4" xfId="836"/>
    <cellStyle name="Normal 4 4 4 4 2" xfId="1962"/>
    <cellStyle name="Normal 4 4 4 5" xfId="837"/>
    <cellStyle name="Normal 4 4 4 5 2" xfId="1963"/>
    <cellStyle name="Normal 4 4 4 6" xfId="1959"/>
    <cellStyle name="Normal 4 4 5" xfId="838"/>
    <cellStyle name="Normal 4 4 5 2" xfId="1964"/>
    <cellStyle name="Normal 4 4 6" xfId="1491"/>
    <cellStyle name="Normal 4 5" xfId="839"/>
    <cellStyle name="Normal 4 5 2" xfId="840"/>
    <cellStyle name="Normal 4 5 2 2" xfId="841"/>
    <cellStyle name="Normal 4 5 2 2 2" xfId="842"/>
    <cellStyle name="Normal 4 5 2 2 2 2" xfId="1968"/>
    <cellStyle name="Normal 4 5 2 2 3" xfId="843"/>
    <cellStyle name="Normal 4 5 2 2 3 2" xfId="1969"/>
    <cellStyle name="Normal 4 5 2 2 4" xfId="844"/>
    <cellStyle name="Normal 4 5 2 2 4 2" xfId="1970"/>
    <cellStyle name="Normal 4 5 2 2 5" xfId="845"/>
    <cellStyle name="Normal 4 5 2 2 5 2" xfId="1971"/>
    <cellStyle name="Normal 4 5 2 2 6" xfId="1967"/>
    <cellStyle name="Normal 4 5 2 3" xfId="1966"/>
    <cellStyle name="Normal 4 5 3" xfId="846"/>
    <cellStyle name="Normal 4 5 4" xfId="1965"/>
    <cellStyle name="Normal 4 6" xfId="847"/>
    <cellStyle name="Normal 4 6 2" xfId="1149"/>
    <cellStyle name="Normal 4 6 2 2" xfId="2114"/>
    <cellStyle name="Normal 4 6 3" xfId="1972"/>
    <cellStyle name="Normal 4 7" xfId="848"/>
    <cellStyle name="Normal 4 7 2" xfId="1150"/>
    <cellStyle name="Normal 4 7 2 2" xfId="2115"/>
    <cellStyle name="Normal 4 7 3" xfId="1973"/>
    <cellStyle name="Normal 4 8" xfId="849"/>
    <cellStyle name="Normal 4 8 2" xfId="1974"/>
    <cellStyle name="Normal 4 9" xfId="850"/>
    <cellStyle name="Normal 4 9 2" xfId="1975"/>
    <cellStyle name="Normal 4_PBOP Exhibit 1" xfId="851"/>
    <cellStyle name="Normal 5" xfId="852"/>
    <cellStyle name="Normal 5 2" xfId="853"/>
    <cellStyle name="Normal 5 2 2" xfId="854"/>
    <cellStyle name="Normal 5 2 2 2" xfId="855"/>
    <cellStyle name="Normal 5 2 2 2 2" xfId="1976"/>
    <cellStyle name="Normal 5 2 2 3" xfId="1415"/>
    <cellStyle name="Normal 5 2 3" xfId="856"/>
    <cellStyle name="Normal 5 2 3 2" xfId="1977"/>
    <cellStyle name="Normal 5 2 4" xfId="857"/>
    <cellStyle name="Normal 5 2 5" xfId="858"/>
    <cellStyle name="Normal 5 2 6" xfId="859"/>
    <cellStyle name="Normal 5 2 6 2" xfId="1978"/>
    <cellStyle name="Normal 5 2 7" xfId="1414"/>
    <cellStyle name="Normal 5 3" xfId="860"/>
    <cellStyle name="Normal 5 3 2" xfId="1416"/>
    <cellStyle name="Normal 5 3 3" xfId="1979"/>
    <cellStyle name="Normal 5 4" xfId="861"/>
    <cellStyle name="Normal 5 4 2" xfId="1493"/>
    <cellStyle name="Normal 5 4 3" xfId="1980"/>
    <cellStyle name="Normal 5 5" xfId="1413"/>
    <cellStyle name="Normal 6" xfId="862"/>
    <cellStyle name="Normal 6 2" xfId="863"/>
    <cellStyle name="Normal 6 2 2" xfId="864"/>
    <cellStyle name="Normal 6 2 2 2" xfId="1982"/>
    <cellStyle name="Normal 6 2 3" xfId="865"/>
    <cellStyle name="Normal 6 2 3 2" xfId="1983"/>
    <cellStyle name="Normal 6 3" xfId="866"/>
    <cellStyle name="Normal 6 3 2" xfId="1151"/>
    <cellStyle name="Normal 6 3 2 2" xfId="2116"/>
    <cellStyle name="Normal 6 3 3" xfId="1984"/>
    <cellStyle name="Normal 6 4" xfId="1152"/>
    <cellStyle name="Normal 6 4 2" xfId="1153"/>
    <cellStyle name="Normal 6 4 2 2" xfId="2118"/>
    <cellStyle name="Normal 6 4 3" xfId="2117"/>
    <cellStyle name="Normal 6 5" xfId="1166"/>
    <cellStyle name="Normal 6 5 2" xfId="2131"/>
    <cellStyle name="Normal 6 6" xfId="1417"/>
    <cellStyle name="Normal 6 7" xfId="1535"/>
    <cellStyle name="Normal 6 7 2" xfId="2168"/>
    <cellStyle name="Normal 6 8" xfId="1981"/>
    <cellStyle name="Normal 7" xfId="867"/>
    <cellStyle name="Normal 7 2" xfId="868"/>
    <cellStyle name="Normal 7 2 2" xfId="1986"/>
    <cellStyle name="Normal 7 3" xfId="869"/>
    <cellStyle name="Normal 7 3 2" xfId="1987"/>
    <cellStyle name="Normal 7 4" xfId="1167"/>
    <cellStyle name="Normal 7 4 2" xfId="2132"/>
    <cellStyle name="Normal 7 5" xfId="1418"/>
    <cellStyle name="Normal 7 6" xfId="1985"/>
    <cellStyle name="Normal 8" xfId="870"/>
    <cellStyle name="Normal 8 2" xfId="871"/>
    <cellStyle name="Normal 8 2 2" xfId="872"/>
    <cellStyle name="Normal 8 2 2 2" xfId="1989"/>
    <cellStyle name="Normal 8 2 3" xfId="1210"/>
    <cellStyle name="Normal 8 2 3 2" xfId="2156"/>
    <cellStyle name="Normal 8 3" xfId="1168"/>
    <cellStyle name="Normal 8 3 2" xfId="2133"/>
    <cellStyle name="Normal 8 4" xfId="1419"/>
    <cellStyle name="Normal 8 4 2" xfId="2161"/>
    <cellStyle name="Normal 8 5" xfId="1988"/>
    <cellStyle name="Normal 9" xfId="873"/>
    <cellStyle name="Normal 9 2" xfId="874"/>
    <cellStyle name="Normal 9 2 2" xfId="875"/>
    <cellStyle name="Normal 9 2 2 2" xfId="1991"/>
    <cellStyle name="Normal 9 3" xfId="1169"/>
    <cellStyle name="Normal 9 3 2" xfId="2134"/>
    <cellStyle name="Normal 9 4" xfId="1420"/>
    <cellStyle name="Normal 9 5" xfId="1990"/>
    <cellStyle name="Normal_~7671050" xfId="876"/>
    <cellStyle name="Normal_21 Exh B" xfId="877"/>
    <cellStyle name="Normal_ADITAnalysisID090805" xfId="878"/>
    <cellStyle name="Normal_ADITAnalysisID090805 2" xfId="879"/>
    <cellStyle name="Normal_ADITAnalysisID090805 2 2" xfId="1176"/>
    <cellStyle name="Normal_ADITAnalysisID090805 2 2 2" xfId="1177"/>
    <cellStyle name="Normal_ADITAnalysisID090805 3 3" xfId="1179"/>
    <cellStyle name="Normal_ATC Projected 2008 Monthly Plant Balances for Attachment O 2 (2)" xfId="1124"/>
    <cellStyle name="Normal_AU Period 2 Rev 4-27-00" xfId="880"/>
    <cellStyle name="Normal_FN1 Ratebase Draft SPP template (6-11-04) v2" xfId="881"/>
    <cellStyle name="Normal_I&amp;M-AK-1" xfId="882"/>
    <cellStyle name="Normal_Schedule O Info for Mike" xfId="1123"/>
    <cellStyle name="Normal_Schedule O Info for Mike 2" xfId="1173"/>
    <cellStyle name="Normal_spp calc - revsd rev crd" xfId="883"/>
    <cellStyle name="Note" xfId="884" builtinId="10" customBuiltin="1"/>
    <cellStyle name="Note 2" xfId="885"/>
    <cellStyle name="Note 2 2" xfId="886"/>
    <cellStyle name="Note 2 2 2" xfId="887"/>
    <cellStyle name="Note 2 2 3" xfId="888"/>
    <cellStyle name="Note 2 2 3 2" xfId="1993"/>
    <cellStyle name="Note 2 2 4" xfId="889"/>
    <cellStyle name="Note 2 2 5" xfId="1422"/>
    <cellStyle name="Note 2 3" xfId="890"/>
    <cellStyle name="Note 2 4" xfId="891"/>
    <cellStyle name="Note 2 5" xfId="892"/>
    <cellStyle name="Note 2 5 2" xfId="1994"/>
    <cellStyle name="Note 2 6" xfId="1421"/>
    <cellStyle name="Note 2 7" xfId="1992"/>
    <cellStyle name="Note 3" xfId="1423"/>
    <cellStyle name="Note 3 2" xfId="1424"/>
    <cellStyle name="Note 4" xfId="1425"/>
    <cellStyle name="Note 4 2" xfId="2162"/>
    <cellStyle name="Note 5" xfId="1426"/>
    <cellStyle name="Note 6" xfId="1494"/>
    <cellStyle name="Note 7" xfId="1186"/>
    <cellStyle name="Note 7 2" xfId="2138"/>
    <cellStyle name="ntec" xfId="1427"/>
    <cellStyle name="Output" xfId="893" builtinId="21" customBuiltin="1"/>
    <cellStyle name="Output 2" xfId="894"/>
    <cellStyle name="Output 2 2" xfId="895"/>
    <cellStyle name="Output 2 3" xfId="896"/>
    <cellStyle name="Output 2 4" xfId="897"/>
    <cellStyle name="Output 2 5" xfId="898"/>
    <cellStyle name="Output 3" xfId="1428"/>
    <cellStyle name="Output 4" xfId="1495"/>
    <cellStyle name="Percent" xfId="899" builtinId="5"/>
    <cellStyle name="Percent 10" xfId="900"/>
    <cellStyle name="Percent 10 2" xfId="1212"/>
    <cellStyle name="Percent 10 2 2" xfId="2158"/>
    <cellStyle name="Percent 10 3" xfId="1534"/>
    <cellStyle name="Percent 11" xfId="901"/>
    <cellStyle name="Percent 11 2" xfId="1205"/>
    <cellStyle name="Percent 11 3" xfId="1995"/>
    <cellStyle name="Percent 12" xfId="902"/>
    <cellStyle name="Percent 12 2" xfId="903"/>
    <cellStyle name="Percent 12 2 2" xfId="1997"/>
    <cellStyle name="Percent 12 3" xfId="904"/>
    <cellStyle name="Percent 12 3 2" xfId="1998"/>
    <cellStyle name="Percent 12 4" xfId="1996"/>
    <cellStyle name="Percent 13" xfId="905"/>
    <cellStyle name="Percent 13 2" xfId="906"/>
    <cellStyle name="Percent 13 2 2" xfId="2000"/>
    <cellStyle name="Percent 13 3" xfId="1999"/>
    <cellStyle name="Percent 14" xfId="907"/>
    <cellStyle name="Percent 14 2" xfId="908"/>
    <cellStyle name="Percent 14 2 2" xfId="2002"/>
    <cellStyle name="Percent 14 3" xfId="2001"/>
    <cellStyle name="Percent 15" xfId="909"/>
    <cellStyle name="Percent 15 2" xfId="910"/>
    <cellStyle name="Percent 15 2 2" xfId="2004"/>
    <cellStyle name="Percent 15 3" xfId="2003"/>
    <cellStyle name="Percent 16" xfId="911"/>
    <cellStyle name="Percent 16 2" xfId="2005"/>
    <cellStyle name="Percent 17" xfId="1200"/>
    <cellStyle name="Percent 17 2" xfId="2152"/>
    <cellStyle name="Percent 2" xfId="912"/>
    <cellStyle name="Percent 2 2" xfId="913"/>
    <cellStyle name="Percent 2 2 2" xfId="914"/>
    <cellStyle name="Percent 2 2 2 2" xfId="2006"/>
    <cellStyle name="Percent 2 2 3" xfId="1429"/>
    <cellStyle name="Percent 2 3" xfId="915"/>
    <cellStyle name="Percent 2 3 2" xfId="2007"/>
    <cellStyle name="Percent 2 4" xfId="1180"/>
    <cellStyle name="Percent 3" xfId="916"/>
    <cellStyle name="Percent 3 10" xfId="917"/>
    <cellStyle name="Percent 3 10 2" xfId="918"/>
    <cellStyle name="Percent 3 10 2 2" xfId="2009"/>
    <cellStyle name="Percent 3 10 3" xfId="919"/>
    <cellStyle name="Percent 3 10 3 2" xfId="2010"/>
    <cellStyle name="Percent 3 10 4" xfId="2008"/>
    <cellStyle name="Percent 3 11" xfId="920"/>
    <cellStyle name="Percent 3 11 2" xfId="921"/>
    <cellStyle name="Percent 3 11 2 2" xfId="2012"/>
    <cellStyle name="Percent 3 11 3" xfId="2011"/>
    <cellStyle name="Percent 3 12" xfId="922"/>
    <cellStyle name="Percent 3 12 2" xfId="923"/>
    <cellStyle name="Percent 3 12 2 2" xfId="2014"/>
    <cellStyle name="Percent 3 12 3" xfId="2013"/>
    <cellStyle name="Percent 3 13" xfId="924"/>
    <cellStyle name="Percent 3 13 2" xfId="925"/>
    <cellStyle name="Percent 3 13 2 2" xfId="2016"/>
    <cellStyle name="Percent 3 13 3" xfId="2015"/>
    <cellStyle name="Percent 3 14" xfId="926"/>
    <cellStyle name="Percent 3 14 2" xfId="2017"/>
    <cellStyle name="Percent 3 2" xfId="927"/>
    <cellStyle name="Percent 3 2 2" xfId="928"/>
    <cellStyle name="Percent 3 2 2 2" xfId="2018"/>
    <cellStyle name="Percent 3 2 3" xfId="1430"/>
    <cellStyle name="Percent 3 3" xfId="929"/>
    <cellStyle name="Percent 3 3 2" xfId="930"/>
    <cellStyle name="Percent 3 3 2 2" xfId="931"/>
    <cellStyle name="Percent 3 3 2 2 2" xfId="2020"/>
    <cellStyle name="Percent 3 3 2 3" xfId="932"/>
    <cellStyle name="Percent 3 3 2 3 2" xfId="2021"/>
    <cellStyle name="Percent 3 3 2 4" xfId="2019"/>
    <cellStyle name="Percent 3 3 3" xfId="933"/>
    <cellStyle name="Percent 3 3 3 2" xfId="934"/>
    <cellStyle name="Percent 3 3 3 2 2" xfId="935"/>
    <cellStyle name="Percent 3 3 3 2 2 2" xfId="2024"/>
    <cellStyle name="Percent 3 3 3 2 3" xfId="936"/>
    <cellStyle name="Percent 3 3 3 2 3 2" xfId="2025"/>
    <cellStyle name="Percent 3 3 3 2 4" xfId="937"/>
    <cellStyle name="Percent 3 3 3 2 4 2" xfId="2026"/>
    <cellStyle name="Percent 3 3 3 2 5" xfId="938"/>
    <cellStyle name="Percent 3 3 3 2 5 2" xfId="2027"/>
    <cellStyle name="Percent 3 3 3 2 6" xfId="2023"/>
    <cellStyle name="Percent 3 3 3 3" xfId="939"/>
    <cellStyle name="Percent 3 3 3 3 2" xfId="2028"/>
    <cellStyle name="Percent 3 3 3 4" xfId="2022"/>
    <cellStyle name="Percent 3 3 4" xfId="940"/>
    <cellStyle name="Percent 3 3 4 2" xfId="2029"/>
    <cellStyle name="Percent 3 3 5" xfId="941"/>
    <cellStyle name="Percent 3 3 5 2" xfId="942"/>
    <cellStyle name="Percent 3 3 5 2 2" xfId="2031"/>
    <cellStyle name="Percent 3 3 5 3" xfId="943"/>
    <cellStyle name="Percent 3 3 5 3 2" xfId="2032"/>
    <cellStyle name="Percent 3 3 5 4" xfId="944"/>
    <cellStyle name="Percent 3 3 5 4 2" xfId="2033"/>
    <cellStyle name="Percent 3 3 5 5" xfId="945"/>
    <cellStyle name="Percent 3 3 5 5 2" xfId="2034"/>
    <cellStyle name="Percent 3 3 5 6" xfId="2030"/>
    <cellStyle name="Percent 3 3 6" xfId="946"/>
    <cellStyle name="Percent 3 3 6 2" xfId="2035"/>
    <cellStyle name="Percent 3 3 7" xfId="1496"/>
    <cellStyle name="Percent 3 4" xfId="947"/>
    <cellStyle name="Percent 3 4 2" xfId="948"/>
    <cellStyle name="Percent 3 4 2 2" xfId="2036"/>
    <cellStyle name="Percent 3 4 3" xfId="949"/>
    <cellStyle name="Percent 3 4 3 2" xfId="2037"/>
    <cellStyle name="Percent 3 4 4" xfId="950"/>
    <cellStyle name="Percent 3 4 4 2" xfId="951"/>
    <cellStyle name="Percent 3 4 4 2 2" xfId="2039"/>
    <cellStyle name="Percent 3 4 4 3" xfId="952"/>
    <cellStyle name="Percent 3 4 4 3 2" xfId="2040"/>
    <cellStyle name="Percent 3 4 4 4" xfId="953"/>
    <cellStyle name="Percent 3 4 4 4 2" xfId="2041"/>
    <cellStyle name="Percent 3 4 4 5" xfId="954"/>
    <cellStyle name="Percent 3 4 4 5 2" xfId="2042"/>
    <cellStyle name="Percent 3 4 4 6" xfId="2038"/>
    <cellStyle name="Percent 3 4 5" xfId="955"/>
    <cellStyle name="Percent 3 4 5 2" xfId="2043"/>
    <cellStyle name="Percent 3 4 6" xfId="1526"/>
    <cellStyle name="Percent 3 5" xfId="956"/>
    <cellStyle name="Percent 3 5 2" xfId="957"/>
    <cellStyle name="Percent 3 5 2 2" xfId="2045"/>
    <cellStyle name="Percent 3 5 3" xfId="2044"/>
    <cellStyle name="Percent 3 6" xfId="958"/>
    <cellStyle name="Percent 3 6 2" xfId="1154"/>
    <cellStyle name="Percent 3 6 2 2" xfId="2119"/>
    <cellStyle name="Percent 3 6 3" xfId="2046"/>
    <cellStyle name="Percent 3 7" xfId="959"/>
    <cellStyle name="Percent 3 7 2" xfId="2047"/>
    <cellStyle name="Percent 3 8" xfId="960"/>
    <cellStyle name="Percent 3 8 2" xfId="2048"/>
    <cellStyle name="Percent 3 9" xfId="961"/>
    <cellStyle name="Percent 3 9 2" xfId="2049"/>
    <cellStyle name="Percent 4" xfId="962"/>
    <cellStyle name="Percent 4 2" xfId="963"/>
    <cellStyle name="Percent 4 2 2" xfId="964"/>
    <cellStyle name="Percent 4 2 2 2" xfId="2050"/>
    <cellStyle name="Percent 4 2 3" xfId="965"/>
    <cellStyle name="Percent 4 2 3 2" xfId="2051"/>
    <cellStyle name="Percent 4 2 4" xfId="1432"/>
    <cellStyle name="Percent 4 3" xfId="966"/>
    <cellStyle name="Percent 4 3 2" xfId="967"/>
    <cellStyle name="Percent 4 3 2 2" xfId="968"/>
    <cellStyle name="Percent 4 3 2 2 2" xfId="2054"/>
    <cellStyle name="Percent 4 3 2 3" xfId="969"/>
    <cellStyle name="Percent 4 3 2 3 2" xfId="2055"/>
    <cellStyle name="Percent 4 3 2 4" xfId="970"/>
    <cellStyle name="Percent 4 3 2 4 2" xfId="2056"/>
    <cellStyle name="Percent 4 3 2 5" xfId="971"/>
    <cellStyle name="Percent 4 3 2 5 2" xfId="2057"/>
    <cellStyle name="Percent 4 3 2 6" xfId="2053"/>
    <cellStyle name="Percent 4 3 3" xfId="972"/>
    <cellStyle name="Percent 4 3 3 2" xfId="2058"/>
    <cellStyle name="Percent 4 3 4" xfId="2052"/>
    <cellStyle name="Percent 4 4" xfId="973"/>
    <cellStyle name="Percent 4 4 2" xfId="2059"/>
    <cellStyle name="Percent 4 5" xfId="974"/>
    <cellStyle name="Percent 4 5 2" xfId="975"/>
    <cellStyle name="Percent 4 5 2 2" xfId="2061"/>
    <cellStyle name="Percent 4 5 3" xfId="976"/>
    <cellStyle name="Percent 4 5 3 2" xfId="2062"/>
    <cellStyle name="Percent 4 5 4" xfId="977"/>
    <cellStyle name="Percent 4 5 4 2" xfId="2063"/>
    <cellStyle name="Percent 4 5 5" xfId="978"/>
    <cellStyle name="Percent 4 5 5 2" xfId="2064"/>
    <cellStyle name="Percent 4 5 6" xfId="2060"/>
    <cellStyle name="Percent 4 6" xfId="979"/>
    <cellStyle name="Percent 4 6 2" xfId="980"/>
    <cellStyle name="Percent 4 6 3" xfId="981"/>
    <cellStyle name="Percent 4 7" xfId="1170"/>
    <cellStyle name="Percent 4 7 2" xfId="2135"/>
    <cellStyle name="Percent 4 8" xfId="1431"/>
    <cellStyle name="Percent 5" xfId="982"/>
    <cellStyle name="Percent 5 2" xfId="983"/>
    <cellStyle name="Percent 5 2 2" xfId="1434"/>
    <cellStyle name="Percent 5 2 3" xfId="2066"/>
    <cellStyle name="Percent 5 3" xfId="984"/>
    <cellStyle name="Percent 5 3 2" xfId="2067"/>
    <cellStyle name="Percent 5 4" xfId="985"/>
    <cellStyle name="Percent 5 4 2" xfId="986"/>
    <cellStyle name="Percent 5 4 2 2" xfId="2069"/>
    <cellStyle name="Percent 5 4 3" xfId="987"/>
    <cellStyle name="Percent 5 4 3 2" xfId="2070"/>
    <cellStyle name="Percent 5 4 4" xfId="988"/>
    <cellStyle name="Percent 5 4 4 2" xfId="2071"/>
    <cellStyle name="Percent 5 4 5" xfId="989"/>
    <cellStyle name="Percent 5 4 5 2" xfId="2072"/>
    <cellStyle name="Percent 5 4 6" xfId="2068"/>
    <cellStyle name="Percent 5 5" xfId="990"/>
    <cellStyle name="Percent 5 5 2" xfId="2073"/>
    <cellStyle name="Percent 5 6" xfId="1433"/>
    <cellStyle name="Percent 5 7" xfId="2065"/>
    <cellStyle name="Percent 6" xfId="991"/>
    <cellStyle name="Percent 6 2" xfId="992"/>
    <cellStyle name="Percent 6 2 2" xfId="2075"/>
    <cellStyle name="Percent 6 3" xfId="993"/>
    <cellStyle name="Percent 6 3 2" xfId="2076"/>
    <cellStyle name="Percent 6 4" xfId="994"/>
    <cellStyle name="Percent 6 4 2" xfId="995"/>
    <cellStyle name="Percent 6 4 3" xfId="996"/>
    <cellStyle name="Percent 6 5" xfId="1171"/>
    <cellStyle name="Percent 6 5 2" xfId="2136"/>
    <cellStyle name="Percent 6 6" xfId="1435"/>
    <cellStyle name="Percent 6 7" xfId="2074"/>
    <cellStyle name="Percent 7" xfId="997"/>
    <cellStyle name="Percent 7 2" xfId="998"/>
    <cellStyle name="Percent 7 2 2" xfId="999"/>
    <cellStyle name="Percent 7 2 2 2" xfId="1000"/>
    <cellStyle name="Percent 7 2 2 2 2" xfId="1001"/>
    <cellStyle name="Percent 7 2 2 3" xfId="1002"/>
    <cellStyle name="Percent 7 2 2 3 2" xfId="1003"/>
    <cellStyle name="Percent 7 2 2 4" xfId="1004"/>
    <cellStyle name="Percent 7 2 2 5" xfId="1005"/>
    <cellStyle name="Percent 7 2 2 6" xfId="1006"/>
    <cellStyle name="Percent 7 2 2 6 2" xfId="2077"/>
    <cellStyle name="Percent 7 2 3" xfId="1007"/>
    <cellStyle name="Percent 7 2 3 2" xfId="1008"/>
    <cellStyle name="Percent 7 2 4" xfId="1009"/>
    <cellStyle name="Percent 7 2 4 2" xfId="1010"/>
    <cellStyle name="Percent 7 2 4 3" xfId="1011"/>
    <cellStyle name="Percent 7 2 5" xfId="1012"/>
    <cellStyle name="Percent 7 2 5 2" xfId="1013"/>
    <cellStyle name="Percent 7 2 6" xfId="1014"/>
    <cellStyle name="Percent 7 2 7" xfId="1437"/>
    <cellStyle name="Percent 7 3" xfId="1015"/>
    <cellStyle name="Percent 7 3 2" xfId="2078"/>
    <cellStyle name="Percent 7 4" xfId="1016"/>
    <cellStyle name="Percent 7 4 2" xfId="2079"/>
    <cellStyle name="Percent 7 5" xfId="1017"/>
    <cellStyle name="Percent 7 5 2" xfId="2080"/>
    <cellStyle name="Percent 7 6" xfId="1018"/>
    <cellStyle name="Percent 7 6 2" xfId="2081"/>
    <cellStyle name="Percent 7 7" xfId="1436"/>
    <cellStyle name="Percent 8" xfId="1019"/>
    <cellStyle name="Percent 8 2" xfId="1439"/>
    <cellStyle name="Percent 8 3" xfId="1438"/>
    <cellStyle name="Percent 8 4" xfId="2082"/>
    <cellStyle name="Percent 9" xfId="1020"/>
    <cellStyle name="Percent 9 2" xfId="1213"/>
    <cellStyle name="PSChar" xfId="1021"/>
    <cellStyle name="PSChar 2" xfId="1022"/>
    <cellStyle name="PSChar 2 2" xfId="1023"/>
    <cellStyle name="PSChar 3" xfId="1024"/>
    <cellStyle name="PSChar 4" xfId="1025"/>
    <cellStyle name="PSChar 4 2" xfId="1026"/>
    <cellStyle name="PSChar 5" xfId="1027"/>
    <cellStyle name="PSChar 5 2" xfId="1028"/>
    <cellStyle name="PSDate" xfId="1029"/>
    <cellStyle name="PSDate 2" xfId="1030"/>
    <cellStyle name="PSDate 2 2" xfId="1441"/>
    <cellStyle name="PSDate 3" xfId="1031"/>
    <cellStyle name="PSDate 4" xfId="1032"/>
    <cellStyle name="PSDate 4 2" xfId="1033"/>
    <cellStyle name="PSDate 5" xfId="1034"/>
    <cellStyle name="PSDate 5 2" xfId="1035"/>
    <cellStyle name="PSDec" xfId="1036"/>
    <cellStyle name="PSDec 2" xfId="1037"/>
    <cellStyle name="PSDec 2 2" xfId="1442"/>
    <cellStyle name="PSDec 3" xfId="1038"/>
    <cellStyle name="PSDec 4" xfId="1039"/>
    <cellStyle name="PSDec 4 2" xfId="1040"/>
    <cellStyle name="PSDec 5" xfId="1041"/>
    <cellStyle name="PSDec 5 2" xfId="1042"/>
    <cellStyle name="PSdesc" xfId="1043"/>
    <cellStyle name="PSdesc 2" xfId="1044"/>
    <cellStyle name="PSdesc 2 2" xfId="2083"/>
    <cellStyle name="PSdesc 3" xfId="1497"/>
    <cellStyle name="PSHeading" xfId="1045"/>
    <cellStyle name="PSHeading 2" xfId="1046"/>
    <cellStyle name="PSHeading 2 2" xfId="1443"/>
    <cellStyle name="PSHeading 3" xfId="1047"/>
    <cellStyle name="PSHeading 4" xfId="1048"/>
    <cellStyle name="PSHeading 5" xfId="1049"/>
    <cellStyle name="PSHeading 5 2" xfId="1050"/>
    <cellStyle name="PSHeading 6" xfId="1051"/>
    <cellStyle name="PSHeading 6 2" xfId="1052"/>
    <cellStyle name="PSInt" xfId="1053"/>
    <cellStyle name="PSInt 2" xfId="1054"/>
    <cellStyle name="PSInt 2 2" xfId="1444"/>
    <cellStyle name="PSInt 3" xfId="1055"/>
    <cellStyle name="PSInt 4" xfId="1056"/>
    <cellStyle name="PSInt 4 2" xfId="1057"/>
    <cellStyle name="PSInt 5" xfId="1058"/>
    <cellStyle name="PSInt 5 2" xfId="1059"/>
    <cellStyle name="PSSpacer" xfId="1060"/>
    <cellStyle name="PSSpacer 2" xfId="1061"/>
    <cellStyle name="PSSpacer 2 2" xfId="1445"/>
    <cellStyle name="PSSpacer 3" xfId="1062"/>
    <cellStyle name="PSSpacer 3 2" xfId="1063"/>
    <cellStyle name="PStest" xfId="1064"/>
    <cellStyle name="PStest 2" xfId="1065"/>
    <cellStyle name="PStest 2 2" xfId="2084"/>
    <cellStyle name="PStest 3" xfId="1498"/>
    <cellStyle name="R00A" xfId="1066"/>
    <cellStyle name="R00B" xfId="1067"/>
    <cellStyle name="R00L" xfId="1068"/>
    <cellStyle name="R01A" xfId="1069"/>
    <cellStyle name="R01B" xfId="1070"/>
    <cellStyle name="R01H" xfId="1071"/>
    <cellStyle name="R01L" xfId="1072"/>
    <cellStyle name="R02A" xfId="1073"/>
    <cellStyle name="R02B" xfId="1074"/>
    <cellStyle name="R02B 2" xfId="1075"/>
    <cellStyle name="R02B 2 2" xfId="2085"/>
    <cellStyle name="R02B 3" xfId="1499"/>
    <cellStyle name="R02H" xfId="1076"/>
    <cellStyle name="R02L" xfId="1077"/>
    <cellStyle name="R03A" xfId="1078"/>
    <cellStyle name="R03B" xfId="1079"/>
    <cellStyle name="R03B 2" xfId="1080"/>
    <cellStyle name="R03B 2 2" xfId="2086"/>
    <cellStyle name="R03B 3" xfId="1500"/>
    <cellStyle name="R03H" xfId="1081"/>
    <cellStyle name="R03L" xfId="1082"/>
    <cellStyle name="R04A" xfId="1083"/>
    <cellStyle name="R04B" xfId="1084"/>
    <cellStyle name="R04B 2" xfId="1085"/>
    <cellStyle name="R04B 2 2" xfId="2087"/>
    <cellStyle name="R04B 3" xfId="1501"/>
    <cellStyle name="R04H" xfId="1086"/>
    <cellStyle name="R04L" xfId="1087"/>
    <cellStyle name="R05A" xfId="1088"/>
    <cellStyle name="R05B" xfId="1089"/>
    <cellStyle name="R05B 2" xfId="1090"/>
    <cellStyle name="R05B 2 2" xfId="2088"/>
    <cellStyle name="R05B 3" xfId="1502"/>
    <cellStyle name="R05H" xfId="1091"/>
    <cellStyle name="R05L" xfId="1092"/>
    <cellStyle name="R05L 2" xfId="1093"/>
    <cellStyle name="R05L 2 2" xfId="2089"/>
    <cellStyle name="R05L 3" xfId="1503"/>
    <cellStyle name="R06A" xfId="1094"/>
    <cellStyle name="R06B" xfId="1095"/>
    <cellStyle name="R06B 2" xfId="1096"/>
    <cellStyle name="R06B 2 2" xfId="2090"/>
    <cellStyle name="R06B 3" xfId="1504"/>
    <cellStyle name="R06H" xfId="1097"/>
    <cellStyle name="R06L" xfId="1098"/>
    <cellStyle name="R07A" xfId="1099"/>
    <cellStyle name="R07B" xfId="1100"/>
    <cellStyle name="R07B 2" xfId="1101"/>
    <cellStyle name="R07B 2 2" xfId="2091"/>
    <cellStyle name="R07B 3" xfId="1505"/>
    <cellStyle name="R07H" xfId="1102"/>
    <cellStyle name="R07L" xfId="1103"/>
    <cellStyle name="Title" xfId="1104" builtinId="15" customBuiltin="1"/>
    <cellStyle name="Title 2" xfId="1105"/>
    <cellStyle name="Title 2 2" xfId="1106"/>
    <cellStyle name="Title 2 3" xfId="1107"/>
    <cellStyle name="Title 2 4" xfId="1108"/>
    <cellStyle name="Title 2 5" xfId="1446"/>
    <cellStyle name="Title 3" xfId="1447"/>
    <cellStyle name="Total" xfId="1109" builtinId="25" customBuiltin="1"/>
    <cellStyle name="Total 2" xfId="1110"/>
    <cellStyle name="Total 2 2" xfId="1111"/>
    <cellStyle name="Total 2 3" xfId="1112"/>
    <cellStyle name="Total 2 4" xfId="1113"/>
    <cellStyle name="Total 2 4 2" xfId="2092"/>
    <cellStyle name="Total 2 5" xfId="1114"/>
    <cellStyle name="Total 2 6" xfId="1448"/>
    <cellStyle name="Total 3" xfId="1115"/>
    <cellStyle name="Total 3 2" xfId="1116"/>
    <cellStyle name="Total 3 3" xfId="1449"/>
    <cellStyle name="Total 4" xfId="1450"/>
    <cellStyle name="Warning Text" xfId="1117" builtinId="11" customBuiltin="1"/>
    <cellStyle name="Warning Text 2" xfId="1118"/>
    <cellStyle name="Warning Text 2 2" xfId="1119"/>
    <cellStyle name="Warning Text 2 3" xfId="1120"/>
    <cellStyle name="Warning Text 2 4" xfId="1121"/>
    <cellStyle name="Warning Text 2 5" xfId="1122"/>
    <cellStyle name="Warning Text 3" xfId="1451"/>
    <cellStyle name="Warning Text 4" xfId="1506"/>
  </cellStyles>
  <dxfs count="10">
    <dxf>
      <font>
        <condense val="0"/>
        <extend val="0"/>
        <color indexed="10"/>
      </font>
    </dxf>
    <dxf>
      <font>
        <b/>
        <i val="0"/>
        <condense val="0"/>
        <extend val="0"/>
      </font>
      <fill>
        <patternFill>
          <bgColor indexed="13"/>
        </patternFill>
      </fill>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font>
      <fill>
        <patternFill>
          <bgColor indexed="13"/>
        </patternFill>
      </fill>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99FFCC"/>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61"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2619375</xdr:colOff>
      <xdr:row>39</xdr:row>
      <xdr:rowOff>0</xdr:rowOff>
    </xdr:from>
    <xdr:to>
      <xdr:col>3</xdr:col>
      <xdr:colOff>2714625</xdr:colOff>
      <xdr:row>40</xdr:row>
      <xdr:rowOff>9524</xdr:rowOff>
    </xdr:to>
    <xdr:sp macro="" textlink="">
      <xdr:nvSpPr>
        <xdr:cNvPr id="71004" name="Text Box 1"/>
        <xdr:cNvSpPr txBox="1">
          <a:spLocks noChangeArrowheads="1"/>
        </xdr:cNvSpPr>
      </xdr:nvSpPr>
      <xdr:spPr bwMode="auto">
        <a:xfrm>
          <a:off x="3419475" y="7029450"/>
          <a:ext cx="95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409575</xdr:colOff>
      <xdr:row>86</xdr:row>
      <xdr:rowOff>0</xdr:rowOff>
    </xdr:from>
    <xdr:to>
      <xdr:col>4</xdr:col>
      <xdr:colOff>523875</xdr:colOff>
      <xdr:row>87</xdr:row>
      <xdr:rowOff>161925</xdr:rowOff>
    </xdr:to>
    <xdr:sp macro="" textlink="">
      <xdr:nvSpPr>
        <xdr:cNvPr id="64979" name="Text Box 1"/>
        <xdr:cNvSpPr txBox="1">
          <a:spLocks noChangeArrowheads="1"/>
        </xdr:cNvSpPr>
      </xdr:nvSpPr>
      <xdr:spPr bwMode="auto">
        <a:xfrm>
          <a:off x="4295775" y="1632585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409575</xdr:colOff>
      <xdr:row>86</xdr:row>
      <xdr:rowOff>0</xdr:rowOff>
    </xdr:from>
    <xdr:to>
      <xdr:col>4</xdr:col>
      <xdr:colOff>523875</xdr:colOff>
      <xdr:row>87</xdr:row>
      <xdr:rowOff>161925</xdr:rowOff>
    </xdr:to>
    <xdr:sp macro="" textlink="">
      <xdr:nvSpPr>
        <xdr:cNvPr id="2" name="Text Box 1"/>
        <xdr:cNvSpPr txBox="1">
          <a:spLocks noChangeArrowheads="1"/>
        </xdr:cNvSpPr>
      </xdr:nvSpPr>
      <xdr:spPr bwMode="auto">
        <a:xfrm>
          <a:off x="4295775" y="1585912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91"/>
  <sheetViews>
    <sheetView tabSelected="1" zoomScale="81" zoomScaleNormal="81" zoomScaleSheetLayoutView="88" zoomScalePageLayoutView="70" workbookViewId="0">
      <selection activeCell="K37" sqref="K37"/>
    </sheetView>
  </sheetViews>
  <sheetFormatPr defaultColWidth="11.453125" defaultRowHeight="15.5"/>
  <cols>
    <col min="1" max="1" width="4.1796875" style="53" customWidth="1"/>
    <col min="2" max="2" width="5.81640625" style="52" bestFit="1" customWidth="1"/>
    <col min="3" max="3" width="2" style="53" customWidth="1"/>
    <col min="4" max="4" width="47.7265625" style="53" customWidth="1"/>
    <col min="5" max="5" width="25.7265625" style="53" customWidth="1"/>
    <col min="6" max="6" width="12.54296875" style="53" customWidth="1"/>
    <col min="7" max="7" width="26.54296875" style="53" customWidth="1"/>
    <col min="8" max="8" width="2.7265625" style="53" customWidth="1"/>
    <col min="9" max="9" width="19.453125" style="53" bestFit="1" customWidth="1"/>
    <col min="10" max="10" width="2.7265625" style="53" customWidth="1"/>
    <col min="11" max="11" width="18" style="53" bestFit="1" customWidth="1"/>
    <col min="12" max="12" width="2.54296875" style="53" customWidth="1"/>
    <col min="13" max="13" width="21.7265625" style="53" customWidth="1"/>
    <col min="14" max="14" width="11.26953125" style="53" customWidth="1"/>
    <col min="15" max="15" width="17.26953125" style="53" customWidth="1"/>
    <col min="16" max="16" width="13.7265625" style="53" customWidth="1"/>
    <col min="17" max="17" width="13.81640625" style="53" customWidth="1"/>
    <col min="18" max="18" width="11.453125" style="53"/>
    <col min="19" max="19" width="16.453125" style="53" customWidth="1"/>
    <col min="20" max="16384" width="11.453125" style="53"/>
  </cols>
  <sheetData>
    <row r="1" spans="1:23">
      <c r="A1" s="51"/>
    </row>
    <row r="2" spans="1:23">
      <c r="A2" s="54"/>
      <c r="B2" s="54"/>
      <c r="C2" s="54"/>
      <c r="D2" s="54"/>
      <c r="E2" s="54"/>
      <c r="F2" s="54"/>
      <c r="G2" s="54"/>
      <c r="H2" s="54"/>
      <c r="J2" s="54"/>
      <c r="K2" s="54"/>
      <c r="L2" s="54"/>
      <c r="M2" s="55"/>
      <c r="N2" s="56"/>
    </row>
    <row r="3" spans="1:23">
      <c r="M3" s="55"/>
    </row>
    <row r="4" spans="1:23">
      <c r="D4" s="57"/>
      <c r="E4" s="57"/>
      <c r="F4" s="58" t="s">
        <v>930</v>
      </c>
      <c r="G4" s="59"/>
      <c r="H4" s="59"/>
      <c r="K4" s="57"/>
      <c r="L4" s="60"/>
    </row>
    <row r="5" spans="1:23">
      <c r="D5" s="57"/>
      <c r="E5" s="61"/>
      <c r="F5" s="62" t="s">
        <v>532</v>
      </c>
      <c r="G5" s="59"/>
      <c r="H5" s="59"/>
      <c r="K5" s="61"/>
      <c r="L5" s="60"/>
    </row>
    <row r="6" spans="1:23">
      <c r="D6" s="60"/>
      <c r="E6" s="60"/>
      <c r="F6" s="63" t="str">
        <f>"For the "&amp;'OKT TCOS'!$N$2&amp;" Rate Year "</f>
        <v xml:space="preserve">For the 2019 Rate Year </v>
      </c>
      <c r="G6" s="59"/>
      <c r="H6" s="59"/>
      <c r="K6" s="60"/>
      <c r="L6" s="60"/>
      <c r="M6" s="60"/>
    </row>
    <row r="7" spans="1:23">
      <c r="B7" s="64"/>
      <c r="C7" s="65"/>
      <c r="D7" s="60"/>
      <c r="H7" s="66"/>
      <c r="J7" s="66"/>
      <c r="K7" s="66"/>
      <c r="L7" s="66"/>
      <c r="M7" s="60"/>
    </row>
    <row r="8" spans="1:23">
      <c r="B8" s="64"/>
      <c r="C8" s="65"/>
      <c r="D8" s="60"/>
      <c r="F8" s="67" t="s">
        <v>670</v>
      </c>
      <c r="G8" s="68"/>
      <c r="H8" s="60"/>
      <c r="J8" s="60"/>
      <c r="K8" s="60"/>
      <c r="L8" s="60"/>
      <c r="O8" s="69"/>
      <c r="P8" s="69"/>
      <c r="Q8" s="69"/>
      <c r="R8" s="69"/>
      <c r="S8" s="69"/>
      <c r="T8" s="69"/>
      <c r="U8" s="69"/>
      <c r="V8" s="69"/>
      <c r="W8" s="69"/>
    </row>
    <row r="9" spans="1:23">
      <c r="B9" s="64"/>
      <c r="C9" s="65"/>
      <c r="D9" s="60"/>
      <c r="E9" s="60"/>
      <c r="F9" s="66"/>
      <c r="G9" s="68"/>
      <c r="H9" s="60"/>
      <c r="I9" s="70" t="s">
        <v>931</v>
      </c>
      <c r="J9" s="60"/>
      <c r="K9" s="71" t="s">
        <v>932</v>
      </c>
      <c r="L9" s="71"/>
      <c r="M9" s="72" t="s">
        <v>933</v>
      </c>
      <c r="O9" s="69"/>
      <c r="P9" s="69"/>
      <c r="Q9" s="69"/>
      <c r="R9" s="69"/>
      <c r="S9" s="69"/>
      <c r="T9" s="69"/>
      <c r="U9" s="69"/>
      <c r="V9" s="69"/>
      <c r="W9" s="69"/>
    </row>
    <row r="10" spans="1:23">
      <c r="B10" s="64" t="s">
        <v>307</v>
      </c>
      <c r="C10" s="65"/>
      <c r="D10" s="60"/>
      <c r="E10" s="60"/>
      <c r="F10" s="71"/>
      <c r="G10" s="68"/>
      <c r="H10" s="60"/>
      <c r="I10" s="70" t="s">
        <v>32</v>
      </c>
      <c r="J10" s="60"/>
      <c r="K10" s="71" t="s">
        <v>32</v>
      </c>
      <c r="L10" s="71"/>
      <c r="M10" s="71" t="s">
        <v>32</v>
      </c>
      <c r="O10" s="69"/>
      <c r="P10" s="69"/>
      <c r="Q10" s="69"/>
      <c r="R10" s="69"/>
      <c r="S10" s="69"/>
      <c r="T10" s="69"/>
      <c r="U10" s="69"/>
      <c r="V10" s="69"/>
      <c r="W10" s="69"/>
    </row>
    <row r="11" spans="1:23" ht="16" thickBot="1">
      <c r="B11" s="73" t="s">
        <v>256</v>
      </c>
      <c r="C11" s="74"/>
      <c r="D11" s="60"/>
      <c r="E11" s="74"/>
      <c r="F11" s="60"/>
      <c r="G11" s="60"/>
      <c r="H11" s="60"/>
      <c r="I11" s="70" t="s">
        <v>120</v>
      </c>
      <c r="J11" s="60"/>
      <c r="K11" s="70" t="s">
        <v>120</v>
      </c>
      <c r="L11" s="71"/>
      <c r="M11" s="70" t="s">
        <v>120</v>
      </c>
      <c r="O11" s="69"/>
      <c r="P11" s="69"/>
      <c r="Q11" s="69"/>
      <c r="R11" s="69"/>
      <c r="S11" s="69"/>
      <c r="T11" s="69"/>
      <c r="U11" s="69"/>
      <c r="V11" s="69"/>
      <c r="W11" s="69"/>
    </row>
    <row r="12" spans="1:23">
      <c r="B12" s="75"/>
      <c r="C12" s="74"/>
      <c r="D12" s="60"/>
      <c r="E12" s="74"/>
      <c r="F12" s="60"/>
      <c r="G12" s="60"/>
      <c r="H12" s="60"/>
      <c r="J12" s="60"/>
      <c r="L12" s="60"/>
      <c r="O12" s="69"/>
      <c r="P12" s="69"/>
      <c r="Q12" s="69"/>
      <c r="R12" s="69"/>
      <c r="S12" s="69"/>
      <c r="T12" s="69"/>
      <c r="U12" s="69"/>
      <c r="V12" s="69"/>
      <c r="W12" s="69"/>
    </row>
    <row r="13" spans="1:23">
      <c r="A13" s="70" t="s">
        <v>121</v>
      </c>
      <c r="B13" s="76" t="s">
        <v>533</v>
      </c>
      <c r="C13" s="74"/>
      <c r="D13" s="60"/>
      <c r="E13" s="74"/>
      <c r="F13" s="60"/>
      <c r="G13" s="60"/>
      <c r="H13" s="60"/>
      <c r="J13" s="60"/>
      <c r="L13" s="60"/>
      <c r="O13" s="69"/>
      <c r="P13" s="69"/>
      <c r="Q13" s="69"/>
      <c r="R13" s="69"/>
      <c r="S13" s="69"/>
      <c r="T13" s="69"/>
      <c r="U13" s="69"/>
      <c r="V13" s="69"/>
      <c r="W13" s="69"/>
    </row>
    <row r="14" spans="1:23">
      <c r="A14" s="70"/>
      <c r="B14" s="75">
        <v>1</v>
      </c>
      <c r="C14" s="74"/>
      <c r="D14" s="77" t="s">
        <v>534</v>
      </c>
      <c r="E14" s="74"/>
      <c r="F14" s="60"/>
      <c r="G14" s="65" t="str">
        <f>"(TCOS Line "&amp;'OKT TCOS'!B12&amp;" )"</f>
        <v>(TCOS Line 1 )</v>
      </c>
      <c r="H14" s="60"/>
      <c r="I14" s="78">
        <f>+K14+M14</f>
        <v>118851503.78933519</v>
      </c>
      <c r="J14" s="60"/>
      <c r="K14" s="79">
        <f>+'OKT TCOS'!L12</f>
        <v>118750671.40136826</v>
      </c>
      <c r="L14" s="60"/>
      <c r="M14" s="79">
        <f>+'SWT TCOS'!L12</f>
        <v>100832.38796693773</v>
      </c>
      <c r="N14" s="80"/>
      <c r="O14" s="69"/>
      <c r="P14" s="69"/>
      <c r="Q14" s="69"/>
      <c r="R14" s="69"/>
      <c r="S14" s="69"/>
      <c r="T14" s="69"/>
      <c r="U14" s="69"/>
      <c r="V14" s="69"/>
      <c r="W14" s="69"/>
    </row>
    <row r="15" spans="1:23">
      <c r="A15" s="70"/>
      <c r="B15" s="75"/>
      <c r="C15" s="74"/>
      <c r="D15" s="77"/>
      <c r="E15" s="74"/>
      <c r="F15" s="60"/>
      <c r="G15" s="60"/>
      <c r="H15" s="60"/>
      <c r="I15" s="78"/>
      <c r="J15" s="60"/>
      <c r="K15" s="79"/>
      <c r="L15" s="60"/>
      <c r="M15" s="79"/>
      <c r="O15" s="69"/>
      <c r="P15" s="69"/>
      <c r="Q15" s="69"/>
      <c r="R15" s="69"/>
      <c r="S15" s="69"/>
      <c r="T15" s="69"/>
      <c r="U15" s="69"/>
      <c r="V15" s="69"/>
      <c r="W15" s="69"/>
    </row>
    <row r="16" spans="1:23">
      <c r="A16" s="70"/>
      <c r="B16" s="75">
        <f>+B14+1</f>
        <v>2</v>
      </c>
      <c r="C16" s="74"/>
      <c r="D16" s="60" t="s">
        <v>536</v>
      </c>
      <c r="E16" s="74"/>
      <c r="F16" s="60"/>
      <c r="G16" s="65" t="str">
        <f>"(TCOS Line "&amp;'OKT TCOS'!B14&amp;" )"</f>
        <v>(TCOS Line 2 )</v>
      </c>
      <c r="H16" s="60"/>
      <c r="I16" s="78">
        <f>(K16+M16)</f>
        <v>5046748.2899999823</v>
      </c>
      <c r="J16" s="60"/>
      <c r="K16" s="79">
        <f>+'OKT TCOS'!L14</f>
        <v>5046052.139999982</v>
      </c>
      <c r="L16" s="81"/>
      <c r="M16" s="79">
        <f>+'SWT TCOS'!L14</f>
        <v>696.15000000000873</v>
      </c>
      <c r="O16" s="69"/>
      <c r="P16" s="69"/>
      <c r="Q16" s="69"/>
      <c r="R16" s="69"/>
      <c r="S16" s="69"/>
      <c r="T16" s="69"/>
      <c r="U16" s="69"/>
      <c r="V16" s="69"/>
      <c r="W16" s="69"/>
    </row>
    <row r="17" spans="1:23">
      <c r="A17" s="70"/>
      <c r="B17" s="76"/>
      <c r="C17" s="74"/>
      <c r="D17" s="60"/>
      <c r="E17" s="74"/>
      <c r="F17" s="60"/>
      <c r="G17" s="60"/>
      <c r="H17" s="60"/>
      <c r="I17" s="82"/>
      <c r="J17" s="83"/>
      <c r="K17" s="82"/>
      <c r="L17" s="83"/>
      <c r="M17" s="82"/>
      <c r="O17" s="69"/>
      <c r="P17" s="69"/>
      <c r="Q17" s="69"/>
      <c r="R17" s="69"/>
      <c r="S17" s="69"/>
      <c r="T17" s="69"/>
      <c r="U17" s="69"/>
      <c r="V17" s="69"/>
      <c r="W17" s="69"/>
    </row>
    <row r="18" spans="1:23">
      <c r="A18" s="70"/>
      <c r="B18" s="75">
        <f>+B16+1</f>
        <v>3</v>
      </c>
      <c r="C18" s="74"/>
      <c r="D18" s="77" t="s">
        <v>535</v>
      </c>
      <c r="E18" s="74"/>
      <c r="F18" s="60"/>
      <c r="G18" s="65" t="str">
        <f>"(TCOS Line "&amp;'OKT TCOS'!B16&amp;" )"</f>
        <v>(TCOS Line 3 )</v>
      </c>
      <c r="H18" s="60"/>
      <c r="I18" s="84">
        <f>+K18+M18</f>
        <v>0</v>
      </c>
      <c r="J18" s="83"/>
      <c r="K18" s="84">
        <f>+'OKT TCOS'!L16</f>
        <v>0</v>
      </c>
      <c r="L18" s="83"/>
      <c r="M18" s="84">
        <f>+'SWT TCOS'!L16</f>
        <v>0</v>
      </c>
      <c r="O18" s="69"/>
      <c r="P18" s="69"/>
      <c r="Q18" s="69"/>
      <c r="R18" s="69"/>
      <c r="S18" s="69"/>
      <c r="T18" s="69"/>
      <c r="U18" s="69"/>
      <c r="V18" s="69"/>
      <c r="W18" s="69"/>
    </row>
    <row r="19" spans="1:23">
      <c r="A19" s="70"/>
      <c r="B19" s="75"/>
      <c r="C19" s="74"/>
      <c r="D19" s="77"/>
      <c r="E19" s="74"/>
      <c r="F19" s="60"/>
      <c r="G19" s="60"/>
      <c r="H19" s="60"/>
      <c r="I19" s="78"/>
      <c r="J19" s="60"/>
      <c r="K19" s="79"/>
      <c r="L19" s="60"/>
      <c r="M19" s="79"/>
      <c r="O19" s="69"/>
      <c r="P19" s="69"/>
      <c r="Q19" s="69"/>
      <c r="R19" s="69"/>
      <c r="S19" s="69"/>
      <c r="T19" s="69"/>
      <c r="U19" s="69"/>
      <c r="V19" s="69"/>
      <c r="W19" s="69"/>
    </row>
    <row r="20" spans="1:23">
      <c r="B20" s="64">
        <f>+B18+1</f>
        <v>4</v>
      </c>
      <c r="C20" s="65"/>
      <c r="D20" s="77" t="s">
        <v>537</v>
      </c>
      <c r="F20" s="85"/>
      <c r="G20" s="65" t="str">
        <f>"(TCOS Line "&amp;'OKT TCOS'!B18&amp;" )"</f>
        <v>(TCOS Line 4 )</v>
      </c>
      <c r="I20" s="86">
        <f>+K20+M20</f>
        <v>113804755.49933521</v>
      </c>
      <c r="J20" s="82"/>
      <c r="K20" s="86">
        <f>+K14+K18-K16</f>
        <v>113704619.26136827</v>
      </c>
      <c r="M20" s="86">
        <f>+M14+M18-M16</f>
        <v>100136.23796693773</v>
      </c>
      <c r="O20" s="69"/>
      <c r="P20" s="69"/>
      <c r="Q20" s="69"/>
      <c r="R20" s="69"/>
      <c r="S20" s="69"/>
      <c r="T20" s="69"/>
      <c r="U20" s="69"/>
      <c r="V20" s="69"/>
      <c r="W20" s="69"/>
    </row>
    <row r="21" spans="1:23">
      <c r="B21" s="64"/>
      <c r="C21" s="65"/>
      <c r="D21" s="77"/>
      <c r="E21" s="60"/>
      <c r="F21" s="85"/>
      <c r="K21" s="87">
        <f>K20/I20</f>
        <v>0.99912010497691794</v>
      </c>
      <c r="M21" s="87">
        <f>1-K21</f>
        <v>8.7989502308205569E-4</v>
      </c>
      <c r="O21" s="69"/>
      <c r="P21" s="69"/>
      <c r="Q21" s="69"/>
      <c r="R21" s="69"/>
      <c r="S21" s="69"/>
      <c r="T21" s="69"/>
      <c r="U21" s="69"/>
      <c r="V21" s="69"/>
      <c r="W21" s="69"/>
    </row>
    <row r="22" spans="1:23">
      <c r="B22" s="64">
        <f>+B20+1</f>
        <v>5</v>
      </c>
      <c r="C22" s="65"/>
      <c r="D22" s="77" t="s">
        <v>538</v>
      </c>
      <c r="E22" s="60"/>
      <c r="F22" s="85"/>
      <c r="O22" s="69"/>
      <c r="P22" s="69"/>
      <c r="Q22" s="69"/>
      <c r="R22" s="69"/>
      <c r="S22" s="69"/>
      <c r="T22" s="69"/>
      <c r="U22" s="69"/>
      <c r="V22" s="69"/>
      <c r="W22" s="69"/>
    </row>
    <row r="23" spans="1:23">
      <c r="B23" s="64">
        <f>+B22+1</f>
        <v>6</v>
      </c>
      <c r="C23" s="65"/>
      <c r="D23" s="77" t="s">
        <v>539</v>
      </c>
      <c r="E23" s="60"/>
      <c r="F23" s="85"/>
      <c r="G23" s="65" t="str">
        <f>"(TCOS Line "&amp;'OKT TCOS'!B23&amp;" )"</f>
        <v>(TCOS Line 5 )</v>
      </c>
      <c r="I23" s="78">
        <f>(K23+M23)</f>
        <v>39138830.897015929</v>
      </c>
      <c r="K23" s="78">
        <f>+'OKT TCOS'!L23</f>
        <v>39138830.897015929</v>
      </c>
      <c r="L23" s="78"/>
      <c r="M23" s="78">
        <f>+'SWT TCOS'!L23</f>
        <v>0</v>
      </c>
      <c r="O23" s="69"/>
      <c r="P23" s="69"/>
      <c r="Q23" s="69"/>
      <c r="R23" s="69"/>
      <c r="S23" s="69"/>
      <c r="T23" s="69"/>
      <c r="U23" s="69"/>
      <c r="V23" s="69"/>
      <c r="W23" s="69"/>
    </row>
    <row r="24" spans="1:23">
      <c r="B24" s="64">
        <f>+B23+1</f>
        <v>7</v>
      </c>
      <c r="C24" s="65"/>
      <c r="D24" s="77" t="s">
        <v>540</v>
      </c>
      <c r="E24" s="60"/>
      <c r="F24" s="85"/>
      <c r="G24" s="65" t="str">
        <f>"(Worksheet F/G)"</f>
        <v>(Worksheet F/G)</v>
      </c>
      <c r="I24" s="78">
        <f>+K24+M24</f>
        <v>0</v>
      </c>
      <c r="K24" s="78">
        <v>0</v>
      </c>
      <c r="L24" s="78"/>
      <c r="M24" s="78">
        <v>0</v>
      </c>
      <c r="O24" s="69"/>
      <c r="P24" s="69"/>
      <c r="Q24" s="69"/>
      <c r="R24" s="69"/>
      <c r="S24" s="69"/>
      <c r="T24" s="69"/>
      <c r="U24" s="69"/>
      <c r="V24" s="69"/>
      <c r="W24" s="69"/>
    </row>
    <row r="25" spans="1:23">
      <c r="B25" s="64">
        <f>+B24+1</f>
        <v>8</v>
      </c>
      <c r="C25" s="65"/>
      <c r="D25" s="77" t="s">
        <v>541</v>
      </c>
      <c r="E25" s="60"/>
      <c r="F25" s="85"/>
      <c r="G25" s="65" t="str">
        <f>"(Worksheet F/G)"</f>
        <v>(Worksheet F/G)</v>
      </c>
      <c r="I25" s="88">
        <f>+K25+M25</f>
        <v>0</v>
      </c>
      <c r="K25" s="88">
        <v>0</v>
      </c>
      <c r="L25" s="78"/>
      <c r="M25" s="88">
        <v>0</v>
      </c>
      <c r="O25" s="69"/>
      <c r="P25" s="69"/>
      <c r="Q25" s="69"/>
      <c r="R25" s="69"/>
      <c r="S25" s="69"/>
      <c r="T25" s="69"/>
      <c r="U25" s="69"/>
      <c r="V25" s="69"/>
      <c r="W25" s="69"/>
    </row>
    <row r="26" spans="1:23">
      <c r="B26" s="64">
        <f>+B25+1</f>
        <v>9</v>
      </c>
      <c r="C26" s="65"/>
      <c r="D26" s="89" t="s">
        <v>542</v>
      </c>
      <c r="E26" s="60" t="s">
        <v>253</v>
      </c>
      <c r="F26" s="85"/>
      <c r="I26" s="78">
        <f>(I25+I24+I23)</f>
        <v>39138830.897015929</v>
      </c>
      <c r="K26" s="78">
        <f>+K25+K24+K23</f>
        <v>39138830.897015929</v>
      </c>
      <c r="L26" s="78"/>
      <c r="M26" s="78">
        <f>+M25+M24+M23</f>
        <v>0</v>
      </c>
      <c r="O26" s="69"/>
      <c r="P26" s="69"/>
      <c r="Q26" s="69"/>
      <c r="R26" s="69"/>
      <c r="S26" s="69"/>
      <c r="T26" s="69"/>
      <c r="U26" s="69"/>
      <c r="V26" s="69"/>
      <c r="W26" s="69"/>
    </row>
    <row r="27" spans="1:23">
      <c r="B27" s="64"/>
      <c r="C27" s="65"/>
      <c r="D27" s="77"/>
      <c r="E27" s="60"/>
      <c r="F27" s="85"/>
      <c r="I27" s="88"/>
      <c r="K27" s="88"/>
      <c r="L27" s="78"/>
      <c r="M27" s="88"/>
      <c r="O27" s="69"/>
      <c r="P27" s="69"/>
      <c r="Q27" s="69"/>
      <c r="R27" s="69"/>
      <c r="S27" s="69"/>
      <c r="T27" s="69"/>
      <c r="U27" s="69"/>
      <c r="V27" s="69"/>
      <c r="W27" s="69"/>
    </row>
    <row r="28" spans="1:23">
      <c r="B28" s="64">
        <f>+B26+1</f>
        <v>10</v>
      </c>
      <c r="C28" s="65"/>
      <c r="D28" s="77" t="s">
        <v>543</v>
      </c>
      <c r="E28" s="60"/>
      <c r="G28" s="85" t="str">
        <f>"(Line "&amp;B20&amp;"- Line "&amp;B26&amp;")"</f>
        <v>(Line 4- Line 9)</v>
      </c>
      <c r="I28" s="78">
        <f>(K28+M28)</f>
        <v>74665924.602319285</v>
      </c>
      <c r="K28" s="78">
        <f>+K20-K26</f>
        <v>74565788.364352345</v>
      </c>
      <c r="L28" s="78"/>
      <c r="M28" s="78">
        <f>+M20-M26</f>
        <v>100136.23796693773</v>
      </c>
      <c r="O28" s="69"/>
      <c r="P28" s="69"/>
      <c r="Q28" s="69"/>
      <c r="R28" s="69"/>
      <c r="S28" s="69"/>
      <c r="T28" s="69"/>
      <c r="U28" s="69"/>
      <c r="V28" s="69"/>
      <c r="W28" s="69"/>
    </row>
    <row r="29" spans="1:23">
      <c r="B29" s="53"/>
      <c r="C29" s="65"/>
      <c r="E29" s="60"/>
      <c r="O29" s="69"/>
      <c r="P29" s="69"/>
      <c r="Q29" s="69"/>
      <c r="R29" s="69"/>
      <c r="S29" s="69"/>
      <c r="T29" s="69"/>
      <c r="U29" s="69"/>
      <c r="V29" s="69"/>
      <c r="W29" s="69"/>
    </row>
    <row r="30" spans="1:23">
      <c r="B30" s="100" t="s">
        <v>1095</v>
      </c>
      <c r="C30" s="65"/>
      <c r="D30" s="1970" t="s">
        <v>1096</v>
      </c>
      <c r="E30" s="60"/>
      <c r="I30" s="78">
        <f>(K30+M30)</f>
        <v>-16331319</v>
      </c>
      <c r="K30" s="305">
        <v>-16331319</v>
      </c>
      <c r="O30" s="69"/>
      <c r="P30" s="69"/>
      <c r="Q30" s="69"/>
      <c r="R30" s="69"/>
      <c r="S30" s="69"/>
      <c r="T30" s="69"/>
      <c r="U30" s="69"/>
      <c r="V30" s="69"/>
      <c r="W30" s="69"/>
    </row>
    <row r="31" spans="1:23">
      <c r="B31" s="53"/>
      <c r="C31" s="65"/>
      <c r="E31" s="60"/>
      <c r="O31" s="69"/>
      <c r="P31" s="69"/>
      <c r="Q31" s="69"/>
      <c r="R31" s="69"/>
      <c r="S31" s="69"/>
      <c r="T31" s="69"/>
      <c r="U31" s="69"/>
      <c r="V31" s="69"/>
      <c r="W31" s="69"/>
    </row>
    <row r="32" spans="1:23">
      <c r="B32" s="64">
        <f>+B28+1</f>
        <v>11</v>
      </c>
      <c r="C32" s="65"/>
      <c r="D32" s="77" t="s">
        <v>544</v>
      </c>
      <c r="E32" s="60"/>
      <c r="F32" s="85"/>
      <c r="G32" s="65" t="str">
        <f>"(TCOS Line "&amp;'OKT TCOS'!B35&amp;" )"</f>
        <v>(TCOS Line 13 )</v>
      </c>
      <c r="I32" s="78">
        <f>+K32+M32</f>
        <v>0</v>
      </c>
      <c r="K32" s="78">
        <f>+'OKT TCOS'!L35</f>
        <v>0</v>
      </c>
      <c r="L32" s="78"/>
      <c r="M32" s="78">
        <f>+'SWT TCOS'!L35</f>
        <v>0</v>
      </c>
      <c r="O32" s="69"/>
      <c r="P32" s="69"/>
      <c r="Q32" s="69"/>
      <c r="R32" s="69"/>
      <c r="S32" s="69"/>
      <c r="T32" s="69"/>
      <c r="U32" s="69"/>
      <c r="V32" s="69"/>
      <c r="W32" s="69"/>
    </row>
    <row r="33" spans="2:23" ht="16" thickBot="1">
      <c r="B33" s="64"/>
      <c r="C33" s="65"/>
      <c r="D33" s="77"/>
      <c r="E33" s="60"/>
      <c r="F33" s="85"/>
      <c r="I33" s="90"/>
      <c r="K33" s="90"/>
      <c r="L33" s="78"/>
      <c r="M33" s="90"/>
      <c r="O33" s="69"/>
      <c r="P33" s="69"/>
      <c r="Q33" s="69"/>
      <c r="R33" s="69"/>
      <c r="S33" s="69"/>
      <c r="T33" s="69"/>
      <c r="U33" s="69"/>
      <c r="V33" s="69"/>
      <c r="W33" s="69"/>
    </row>
    <row r="34" spans="2:23" ht="16" thickBot="1">
      <c r="B34" s="91">
        <f>+B32+1</f>
        <v>12</v>
      </c>
      <c r="C34" s="92"/>
      <c r="D34" s="93" t="s">
        <v>545</v>
      </c>
      <c r="E34" s="94"/>
      <c r="F34" s="95"/>
      <c r="G34" s="96" t="str">
        <f>"(Line "&amp;B28&amp;" + Line "&amp;B32&amp;")"</f>
        <v>(Line 10 + Line 11)</v>
      </c>
      <c r="H34" s="95"/>
      <c r="I34" s="97">
        <f>(I28+I30+I32)</f>
        <v>58334605.602319285</v>
      </c>
      <c r="J34" s="95"/>
      <c r="K34" s="97">
        <f>(K28+K30+K32)</f>
        <v>58234469.364352345</v>
      </c>
      <c r="L34" s="97"/>
      <c r="M34" s="97">
        <f>(M28+M30+M32)</f>
        <v>100136.23796693773</v>
      </c>
      <c r="O34" s="69"/>
      <c r="P34" s="69"/>
      <c r="Q34" s="69"/>
      <c r="R34" s="69"/>
      <c r="S34" s="69"/>
      <c r="T34" s="69"/>
      <c r="U34" s="69"/>
      <c r="V34" s="69"/>
      <c r="W34" s="69"/>
    </row>
    <row r="35" spans="2:23">
      <c r="B35" s="64"/>
      <c r="C35" s="65"/>
      <c r="D35" s="77"/>
      <c r="E35" s="60"/>
      <c r="G35" s="85"/>
      <c r="I35" s="78"/>
      <c r="K35" s="78"/>
      <c r="L35" s="78"/>
      <c r="M35" s="78"/>
      <c r="O35" s="69"/>
      <c r="P35" s="69"/>
      <c r="Q35" s="69"/>
      <c r="R35" s="69"/>
      <c r="S35" s="69"/>
      <c r="T35" s="69"/>
      <c r="U35" s="69"/>
      <c r="V35" s="69"/>
      <c r="W35" s="69"/>
    </row>
    <row r="36" spans="2:23">
      <c r="B36" s="75">
        <f>B34+1</f>
        <v>13</v>
      </c>
      <c r="C36" s="74"/>
      <c r="D36" s="77" t="s">
        <v>546</v>
      </c>
      <c r="E36" s="98"/>
      <c r="F36" s="99"/>
      <c r="G36" s="100" t="str">
        <f>"(Load WS, ln "&amp;'Load WS'!A48&amp;")"</f>
        <v>(Load WS, ln 30)</v>
      </c>
      <c r="H36" s="99"/>
      <c r="I36" s="78">
        <f>+M36</f>
        <v>8601.5</v>
      </c>
      <c r="K36" s="78">
        <f>I36</f>
        <v>8601.5</v>
      </c>
      <c r="L36" s="78"/>
      <c r="M36" s="78">
        <f>+'Load WS'!Q33</f>
        <v>8601.5</v>
      </c>
      <c r="O36" s="69"/>
      <c r="P36" s="69"/>
      <c r="Q36" s="69"/>
      <c r="R36" s="69"/>
      <c r="S36" s="69"/>
      <c r="T36" s="69"/>
      <c r="U36" s="69"/>
      <c r="V36" s="69"/>
      <c r="W36" s="69"/>
    </row>
    <row r="37" spans="2:23">
      <c r="B37" s="75"/>
      <c r="C37" s="74"/>
      <c r="D37" s="101"/>
      <c r="E37" s="98"/>
      <c r="F37" s="99"/>
      <c r="G37" s="102"/>
      <c r="H37" s="99"/>
      <c r="I37" s="103"/>
      <c r="J37" s="99"/>
      <c r="K37" s="103"/>
      <c r="L37" s="78"/>
      <c r="M37" s="78"/>
      <c r="O37" s="69"/>
      <c r="P37" s="69"/>
      <c r="Q37" s="69"/>
      <c r="R37" s="69"/>
      <c r="S37" s="69"/>
      <c r="T37" s="69"/>
      <c r="U37" s="69"/>
      <c r="V37" s="69"/>
      <c r="W37" s="69"/>
    </row>
    <row r="38" spans="2:23">
      <c r="B38" s="75">
        <f>B36+1</f>
        <v>14</v>
      </c>
      <c r="C38" s="74"/>
      <c r="D38" s="104" t="str">
        <f>"Monthly NITS Rate in $/MW - Month"</f>
        <v>Monthly NITS Rate in $/MW - Month</v>
      </c>
      <c r="E38" s="98"/>
      <c r="F38" s="99"/>
      <c r="G38" s="105" t="str">
        <f>"(Line "&amp;B34&amp;" / Line "&amp;B36&amp;") /12 "</f>
        <v xml:space="preserve">(Line 12 / Line 13) /12 </v>
      </c>
      <c r="H38" s="99"/>
      <c r="I38" s="106">
        <f>(I34/I36)/12</f>
        <v>565.15923193938352</v>
      </c>
      <c r="J38" s="99"/>
      <c r="K38" s="106">
        <f>(K34/K36)/12</f>
        <v>564.18908876700141</v>
      </c>
      <c r="L38" s="78"/>
      <c r="M38" s="106">
        <f>(M34/M36)/12</f>
        <v>0.97014317238212067</v>
      </c>
      <c r="O38" s="69"/>
      <c r="P38" s="69"/>
      <c r="Q38" s="69"/>
      <c r="R38" s="69"/>
      <c r="S38" s="69"/>
      <c r="T38" s="69"/>
      <c r="U38" s="69"/>
      <c r="V38" s="69"/>
      <c r="W38" s="69"/>
    </row>
    <row r="39" spans="2:23">
      <c r="B39" s="64"/>
      <c r="C39" s="65"/>
      <c r="D39" s="77"/>
      <c r="E39" s="60"/>
      <c r="G39" s="85"/>
      <c r="I39" s="78"/>
      <c r="K39" s="78"/>
      <c r="L39" s="78"/>
      <c r="M39" s="78"/>
      <c r="O39" s="69"/>
      <c r="P39" s="69"/>
      <c r="Q39" s="69"/>
      <c r="R39" s="69"/>
      <c r="S39" s="69"/>
      <c r="T39" s="69"/>
      <c r="U39" s="69"/>
      <c r="V39" s="69"/>
      <c r="W39" s="69"/>
    </row>
    <row r="40" spans="2:23">
      <c r="B40" s="64"/>
      <c r="C40" s="65"/>
      <c r="D40" s="77"/>
      <c r="E40" s="60"/>
      <c r="F40" s="85"/>
      <c r="I40" s="78"/>
      <c r="K40" s="78"/>
      <c r="L40" s="78"/>
      <c r="M40" s="78"/>
      <c r="O40" s="69"/>
      <c r="P40" s="69"/>
      <c r="Q40" s="69"/>
      <c r="R40" s="69"/>
      <c r="S40" s="69"/>
      <c r="T40" s="69"/>
      <c r="U40" s="69"/>
      <c r="V40" s="69"/>
      <c r="W40" s="69"/>
    </row>
    <row r="41" spans="2:23">
      <c r="B41" s="107"/>
      <c r="C41" s="60"/>
      <c r="D41" s="60"/>
      <c r="E41" s="60"/>
      <c r="F41" s="60"/>
      <c r="G41" s="60"/>
      <c r="H41" s="60"/>
      <c r="I41" s="60"/>
      <c r="J41" s="60"/>
      <c r="K41" s="60"/>
      <c r="L41" s="60"/>
      <c r="M41" s="54"/>
      <c r="N41" s="60"/>
      <c r="O41" s="69"/>
      <c r="P41" s="69"/>
      <c r="Q41" s="69"/>
      <c r="R41" s="69"/>
      <c r="S41" s="69"/>
      <c r="T41" s="69"/>
      <c r="U41" s="69"/>
      <c r="V41" s="69"/>
      <c r="W41" s="69"/>
    </row>
    <row r="42" spans="2:23">
      <c r="B42" s="107"/>
      <c r="C42" s="60"/>
      <c r="D42" s="60"/>
      <c r="E42" s="60"/>
      <c r="F42" s="60"/>
      <c r="G42" s="60"/>
      <c r="H42" s="60"/>
      <c r="I42" s="60"/>
      <c r="J42" s="60"/>
      <c r="K42" s="60"/>
      <c r="L42" s="60"/>
      <c r="M42" s="54"/>
      <c r="N42" s="60"/>
      <c r="O42" s="69"/>
      <c r="P42" s="69"/>
      <c r="Q42" s="69"/>
      <c r="R42" s="69"/>
      <c r="S42" s="69"/>
      <c r="T42" s="69"/>
      <c r="U42" s="69"/>
      <c r="V42" s="69"/>
      <c r="W42" s="69"/>
    </row>
    <row r="43" spans="2:23">
      <c r="B43" s="107"/>
      <c r="C43" s="60"/>
      <c r="D43" s="60"/>
      <c r="E43" s="60"/>
      <c r="F43" s="60"/>
      <c r="G43" s="60"/>
      <c r="H43" s="60"/>
      <c r="I43" s="108"/>
      <c r="J43" s="60"/>
      <c r="K43" s="60"/>
      <c r="L43" s="60"/>
      <c r="M43" s="54"/>
      <c r="N43" s="60"/>
      <c r="O43" s="60"/>
      <c r="P43" s="60"/>
      <c r="Q43" s="60"/>
      <c r="R43" s="60"/>
      <c r="S43" s="60"/>
      <c r="T43" s="60"/>
      <c r="U43" s="60"/>
      <c r="V43" s="60"/>
      <c r="W43" s="60"/>
    </row>
    <row r="44" spans="2:23">
      <c r="B44" s="107"/>
      <c r="C44" s="60"/>
      <c r="D44" s="60"/>
      <c r="E44" s="60"/>
      <c r="F44" s="60"/>
      <c r="G44" s="60"/>
      <c r="H44" s="60"/>
      <c r="I44" s="60"/>
      <c r="J44" s="60"/>
      <c r="K44" s="60"/>
      <c r="L44" s="60"/>
      <c r="M44" s="54"/>
      <c r="N44" s="60"/>
      <c r="O44" s="60"/>
      <c r="P44" s="60"/>
      <c r="Q44" s="60"/>
      <c r="R44" s="60"/>
      <c r="S44" s="60"/>
      <c r="T44" s="60"/>
      <c r="U44" s="60"/>
      <c r="V44" s="60"/>
      <c r="W44" s="60"/>
    </row>
    <row r="45" spans="2:23">
      <c r="B45" s="107"/>
      <c r="C45" s="60"/>
      <c r="D45" s="60"/>
      <c r="E45" s="60"/>
      <c r="F45" s="60"/>
      <c r="G45" s="60"/>
      <c r="H45" s="60"/>
      <c r="I45" s="60"/>
      <c r="J45" s="60"/>
      <c r="K45" s="60"/>
      <c r="L45" s="60"/>
      <c r="M45" s="60"/>
      <c r="N45" s="60"/>
      <c r="O45" s="60"/>
      <c r="P45" s="60"/>
      <c r="Q45" s="60"/>
      <c r="R45" s="60"/>
      <c r="S45" s="60"/>
      <c r="T45" s="60"/>
      <c r="U45" s="60"/>
      <c r="V45" s="60"/>
      <c r="W45" s="60"/>
    </row>
    <row r="46" spans="2:23">
      <c r="B46" s="107"/>
      <c r="C46" s="60"/>
      <c r="D46" s="60"/>
      <c r="E46" s="60"/>
      <c r="F46" s="60"/>
      <c r="G46" s="60"/>
      <c r="H46" s="60"/>
      <c r="I46" s="108"/>
      <c r="J46" s="60"/>
      <c r="K46" s="60"/>
      <c r="L46" s="60"/>
      <c r="M46" s="60"/>
      <c r="N46" s="60"/>
      <c r="O46" s="60"/>
      <c r="P46" s="60"/>
      <c r="Q46" s="60"/>
      <c r="R46" s="60"/>
      <c r="S46" s="60"/>
      <c r="T46" s="60"/>
      <c r="U46" s="60"/>
      <c r="V46" s="60"/>
      <c r="W46" s="60"/>
    </row>
    <row r="47" spans="2:23">
      <c r="B47" s="107"/>
      <c r="C47" s="60"/>
      <c r="D47" s="60"/>
      <c r="E47" s="60"/>
      <c r="F47" s="60"/>
      <c r="G47" s="109"/>
      <c r="H47" s="60"/>
      <c r="I47" s="108"/>
      <c r="J47" s="60"/>
      <c r="K47" s="60"/>
      <c r="L47" s="60"/>
      <c r="M47" s="60"/>
      <c r="N47" s="60"/>
      <c r="O47" s="60"/>
      <c r="P47" s="60"/>
      <c r="Q47" s="60"/>
      <c r="R47" s="60"/>
      <c r="S47" s="60"/>
      <c r="T47" s="60"/>
      <c r="U47" s="60"/>
      <c r="V47" s="60"/>
      <c r="W47" s="60"/>
    </row>
    <row r="48" spans="2:23">
      <c r="B48" s="107"/>
      <c r="C48" s="60"/>
      <c r="D48" s="60"/>
      <c r="E48" s="60"/>
      <c r="F48" s="60"/>
      <c r="G48" s="109"/>
      <c r="H48" s="60"/>
      <c r="I48" s="108"/>
      <c r="J48" s="60"/>
      <c r="K48" s="60"/>
      <c r="L48" s="60"/>
      <c r="M48" s="60"/>
      <c r="N48" s="60"/>
      <c r="O48" s="60"/>
      <c r="P48" s="60"/>
      <c r="Q48" s="60"/>
      <c r="R48" s="60"/>
      <c r="S48" s="60"/>
      <c r="T48" s="60"/>
      <c r="U48" s="60"/>
      <c r="V48" s="60"/>
      <c r="W48" s="60"/>
    </row>
    <row r="49" spans="2:23">
      <c r="B49" s="107"/>
      <c r="C49" s="60"/>
      <c r="D49" s="60"/>
      <c r="E49" s="60"/>
      <c r="F49" s="110"/>
      <c r="G49" s="109"/>
      <c r="H49" s="60"/>
      <c r="I49" s="108"/>
      <c r="J49" s="60"/>
      <c r="K49" s="60"/>
      <c r="L49" s="60"/>
      <c r="M49" s="60"/>
      <c r="N49" s="60"/>
      <c r="O49" s="60"/>
      <c r="P49" s="60"/>
      <c r="Q49" s="60"/>
      <c r="R49" s="60"/>
      <c r="S49" s="60"/>
      <c r="T49" s="60"/>
      <c r="U49" s="60"/>
      <c r="V49" s="60"/>
      <c r="W49" s="60"/>
    </row>
    <row r="50" spans="2:23">
      <c r="B50" s="107"/>
      <c r="C50" s="60"/>
      <c r="D50" s="60"/>
      <c r="E50" s="60"/>
      <c r="F50" s="60"/>
      <c r="G50" s="60"/>
      <c r="H50" s="60"/>
      <c r="I50" s="108"/>
      <c r="J50" s="60"/>
      <c r="K50" s="60"/>
      <c r="L50" s="60"/>
      <c r="M50" s="60"/>
      <c r="N50" s="60"/>
      <c r="O50" s="60"/>
      <c r="P50" s="60"/>
      <c r="Q50" s="60"/>
      <c r="R50" s="60"/>
      <c r="S50" s="60"/>
      <c r="T50" s="60"/>
      <c r="U50" s="60"/>
      <c r="V50" s="60"/>
      <c r="W50" s="60"/>
    </row>
    <row r="51" spans="2:23">
      <c r="B51" s="107"/>
      <c r="C51" s="60"/>
      <c r="D51" s="60"/>
      <c r="E51" s="60"/>
      <c r="F51" s="60"/>
      <c r="G51" s="60"/>
      <c r="H51" s="60"/>
      <c r="I51" s="108"/>
      <c r="J51" s="60"/>
      <c r="K51" s="60"/>
      <c r="L51" s="60"/>
      <c r="M51" s="60"/>
      <c r="N51" s="60"/>
      <c r="O51" s="60"/>
      <c r="P51" s="60"/>
      <c r="Q51" s="60"/>
      <c r="R51" s="60"/>
      <c r="S51" s="60"/>
      <c r="T51" s="60"/>
      <c r="U51" s="60"/>
      <c r="V51" s="60"/>
      <c r="W51" s="60"/>
    </row>
    <row r="52" spans="2:23">
      <c r="B52" s="107"/>
      <c r="C52" s="60"/>
      <c r="D52" s="60"/>
      <c r="E52" s="60"/>
      <c r="F52" s="60"/>
      <c r="G52" s="60"/>
      <c r="H52" s="60"/>
      <c r="I52" s="108"/>
      <c r="J52" s="60"/>
      <c r="K52" s="60"/>
      <c r="L52" s="60"/>
      <c r="M52" s="60"/>
      <c r="N52" s="60"/>
      <c r="O52" s="60"/>
      <c r="P52" s="60"/>
      <c r="Q52" s="60"/>
      <c r="R52" s="60"/>
      <c r="S52" s="60"/>
      <c r="T52" s="60"/>
      <c r="U52" s="60"/>
      <c r="V52" s="60"/>
      <c r="W52" s="60"/>
    </row>
    <row r="53" spans="2:23">
      <c r="B53" s="107"/>
      <c r="C53" s="60"/>
      <c r="D53" s="60"/>
      <c r="E53" s="60"/>
      <c r="F53" s="60"/>
      <c r="G53" s="60"/>
      <c r="H53" s="60"/>
      <c r="I53" s="60"/>
      <c r="J53" s="60"/>
      <c r="K53" s="60"/>
      <c r="L53" s="60"/>
      <c r="M53" s="60"/>
      <c r="N53" s="60"/>
      <c r="O53" s="60"/>
      <c r="P53" s="60"/>
      <c r="Q53" s="60"/>
      <c r="R53" s="60"/>
      <c r="S53" s="60"/>
      <c r="T53" s="60"/>
      <c r="U53" s="60"/>
      <c r="V53" s="60"/>
      <c r="W53" s="60"/>
    </row>
    <row r="54" spans="2:23">
      <c r="B54" s="107"/>
      <c r="C54" s="60"/>
      <c r="D54" s="60"/>
      <c r="E54" s="60"/>
      <c r="F54" s="60"/>
      <c r="G54" s="60"/>
      <c r="H54" s="60"/>
      <c r="I54" s="60"/>
      <c r="J54" s="60"/>
      <c r="K54" s="60"/>
      <c r="L54" s="60"/>
      <c r="M54" s="60"/>
      <c r="N54" s="60"/>
      <c r="O54" s="60"/>
      <c r="P54" s="60"/>
      <c r="Q54" s="60"/>
      <c r="R54" s="60"/>
      <c r="S54" s="60"/>
      <c r="T54" s="60"/>
      <c r="U54" s="60"/>
      <c r="V54" s="60"/>
      <c r="W54" s="60"/>
    </row>
    <row r="55" spans="2:23">
      <c r="B55" s="107"/>
      <c r="C55" s="60"/>
      <c r="D55" s="60"/>
      <c r="E55" s="60"/>
      <c r="F55" s="60"/>
      <c r="G55" s="60"/>
      <c r="H55" s="60"/>
      <c r="I55" s="60"/>
      <c r="J55" s="60"/>
      <c r="K55" s="60"/>
      <c r="L55" s="60"/>
      <c r="M55" s="60"/>
      <c r="N55" s="60"/>
      <c r="O55" s="60"/>
      <c r="P55" s="60"/>
      <c r="Q55" s="60"/>
      <c r="R55" s="60"/>
      <c r="S55" s="60"/>
      <c r="T55" s="60"/>
      <c r="U55" s="60"/>
      <c r="V55" s="60"/>
      <c r="W55" s="60"/>
    </row>
    <row r="56" spans="2:23">
      <c r="B56" s="107"/>
      <c r="C56" s="60"/>
      <c r="D56" s="60"/>
      <c r="E56" s="60"/>
      <c r="F56" s="60"/>
      <c r="G56" s="60"/>
      <c r="H56" s="60"/>
      <c r="I56" s="60"/>
      <c r="J56" s="60"/>
      <c r="K56" s="60"/>
      <c r="L56" s="60"/>
      <c r="M56" s="60"/>
      <c r="N56" s="60"/>
      <c r="O56" s="60"/>
      <c r="P56" s="60"/>
      <c r="Q56" s="60"/>
      <c r="R56" s="60"/>
      <c r="S56" s="60"/>
      <c r="T56" s="60"/>
      <c r="U56" s="60"/>
      <c r="V56" s="60"/>
      <c r="W56" s="60"/>
    </row>
    <row r="57" spans="2:23">
      <c r="B57" s="107"/>
      <c r="C57" s="60"/>
      <c r="D57" s="60"/>
      <c r="E57" s="60"/>
      <c r="F57" s="60"/>
      <c r="G57" s="60"/>
      <c r="H57" s="60"/>
      <c r="I57" s="60"/>
      <c r="J57" s="60"/>
      <c r="K57" s="60"/>
      <c r="L57" s="60"/>
      <c r="M57" s="60"/>
      <c r="N57" s="60"/>
      <c r="O57" s="60"/>
      <c r="P57" s="60"/>
      <c r="Q57" s="60"/>
      <c r="R57" s="60"/>
      <c r="S57" s="60"/>
      <c r="T57" s="60"/>
      <c r="U57" s="60"/>
      <c r="V57" s="60"/>
      <c r="W57" s="60"/>
    </row>
    <row r="58" spans="2:23">
      <c r="B58" s="107"/>
      <c r="C58" s="60"/>
      <c r="D58" s="60"/>
      <c r="E58" s="60"/>
      <c r="F58" s="60"/>
      <c r="G58" s="60"/>
      <c r="H58" s="60"/>
      <c r="I58" s="60"/>
      <c r="J58" s="60"/>
      <c r="K58" s="60"/>
      <c r="L58" s="60"/>
      <c r="M58" s="60"/>
      <c r="N58" s="60"/>
      <c r="O58" s="60"/>
      <c r="P58" s="60"/>
      <c r="Q58" s="60"/>
      <c r="R58" s="60"/>
      <c r="S58" s="60"/>
      <c r="T58" s="60"/>
      <c r="U58" s="60"/>
      <c r="V58" s="60"/>
      <c r="W58" s="60"/>
    </row>
    <row r="59" spans="2:23">
      <c r="B59" s="107"/>
      <c r="C59" s="60"/>
      <c r="D59" s="60"/>
      <c r="E59" s="60"/>
      <c r="F59" s="60"/>
      <c r="G59" s="60"/>
      <c r="H59" s="60"/>
      <c r="I59" s="60"/>
      <c r="J59" s="60"/>
      <c r="K59" s="60"/>
      <c r="L59" s="60"/>
      <c r="M59" s="60"/>
      <c r="N59" s="60"/>
      <c r="O59" s="60"/>
      <c r="P59" s="60"/>
      <c r="Q59" s="60"/>
      <c r="R59" s="60"/>
      <c r="S59" s="60"/>
      <c r="T59" s="60"/>
      <c r="U59" s="60"/>
      <c r="V59" s="60"/>
      <c r="W59" s="60"/>
    </row>
    <row r="60" spans="2:23">
      <c r="B60" s="107"/>
      <c r="C60" s="60"/>
      <c r="D60" s="60"/>
      <c r="E60" s="60"/>
      <c r="F60" s="60"/>
      <c r="G60" s="60"/>
      <c r="H60" s="60"/>
      <c r="I60" s="60"/>
      <c r="J60" s="60"/>
      <c r="K60" s="60"/>
      <c r="L60" s="60"/>
      <c r="M60" s="60"/>
      <c r="N60" s="60"/>
      <c r="O60" s="60"/>
      <c r="P60" s="60"/>
      <c r="Q60" s="60"/>
      <c r="R60" s="60"/>
      <c r="S60" s="60"/>
      <c r="T60" s="60"/>
      <c r="U60" s="60"/>
      <c r="V60" s="60"/>
      <c r="W60" s="60"/>
    </row>
    <row r="61" spans="2:23">
      <c r="B61" s="107"/>
      <c r="C61" s="60"/>
      <c r="D61" s="60"/>
      <c r="E61" s="60"/>
      <c r="F61" s="60"/>
      <c r="G61" s="60"/>
      <c r="H61" s="60"/>
      <c r="I61" s="60"/>
      <c r="J61" s="60"/>
      <c r="K61" s="60"/>
      <c r="L61" s="60"/>
      <c r="M61" s="60"/>
      <c r="N61" s="60"/>
      <c r="O61" s="60"/>
      <c r="P61" s="60"/>
      <c r="Q61" s="60"/>
      <c r="R61" s="60"/>
      <c r="S61" s="60"/>
      <c r="T61" s="60"/>
      <c r="U61" s="60"/>
      <c r="V61" s="60"/>
      <c r="W61" s="60"/>
    </row>
    <row r="62" spans="2:23">
      <c r="B62" s="107"/>
      <c r="C62" s="60"/>
      <c r="D62" s="60"/>
      <c r="E62" s="60"/>
      <c r="F62" s="60"/>
      <c r="G62" s="60"/>
      <c r="H62" s="60"/>
      <c r="I62" s="60"/>
      <c r="J62" s="60"/>
      <c r="K62" s="60"/>
      <c r="L62" s="60"/>
      <c r="M62" s="60"/>
      <c r="N62" s="60"/>
      <c r="O62" s="60"/>
      <c r="P62" s="60"/>
      <c r="Q62" s="60"/>
      <c r="R62" s="60"/>
      <c r="S62" s="60"/>
      <c r="T62" s="60"/>
      <c r="U62" s="60"/>
      <c r="V62" s="60"/>
      <c r="W62" s="60"/>
    </row>
    <row r="63" spans="2:23">
      <c r="B63" s="107"/>
      <c r="C63" s="60"/>
      <c r="D63" s="60"/>
      <c r="E63" s="60"/>
      <c r="F63" s="60"/>
      <c r="G63" s="60"/>
      <c r="H63" s="60"/>
      <c r="I63" s="60"/>
      <c r="J63" s="60"/>
      <c r="K63" s="60"/>
      <c r="L63" s="60"/>
      <c r="M63" s="60"/>
      <c r="N63" s="60"/>
      <c r="O63" s="60"/>
      <c r="P63" s="60"/>
      <c r="Q63" s="60"/>
      <c r="R63" s="60"/>
      <c r="S63" s="60"/>
      <c r="T63" s="60"/>
      <c r="U63" s="60"/>
      <c r="V63" s="60"/>
      <c r="W63" s="60"/>
    </row>
    <row r="64" spans="2:23">
      <c r="B64" s="107"/>
      <c r="C64" s="60"/>
      <c r="D64" s="60"/>
      <c r="E64" s="60"/>
      <c r="F64" s="60"/>
      <c r="G64" s="60"/>
      <c r="H64" s="60"/>
      <c r="I64" s="60"/>
      <c r="J64" s="60"/>
      <c r="K64" s="60"/>
      <c r="L64" s="60"/>
      <c r="M64" s="60"/>
      <c r="N64" s="60"/>
      <c r="O64" s="60"/>
      <c r="P64" s="60"/>
      <c r="Q64" s="60"/>
      <c r="R64" s="60"/>
      <c r="S64" s="60"/>
      <c r="T64" s="60"/>
      <c r="U64" s="60"/>
      <c r="V64" s="60"/>
      <c r="W64" s="60"/>
    </row>
    <row r="65" spans="2:23">
      <c r="B65" s="107"/>
      <c r="C65" s="60"/>
      <c r="D65" s="60"/>
      <c r="E65" s="60"/>
      <c r="F65" s="60"/>
      <c r="G65" s="60"/>
      <c r="H65" s="60"/>
      <c r="I65" s="60"/>
      <c r="J65" s="60"/>
      <c r="K65" s="60"/>
      <c r="L65" s="60"/>
      <c r="M65" s="60"/>
      <c r="N65" s="60"/>
      <c r="O65" s="60"/>
      <c r="P65" s="60"/>
      <c r="Q65" s="60"/>
      <c r="R65" s="60"/>
      <c r="S65" s="60"/>
      <c r="T65" s="60"/>
      <c r="U65" s="60"/>
      <c r="V65" s="60"/>
      <c r="W65" s="60"/>
    </row>
    <row r="66" spans="2:23">
      <c r="B66" s="107"/>
      <c r="C66" s="60"/>
      <c r="D66" s="60"/>
      <c r="E66" s="60"/>
      <c r="F66" s="60"/>
      <c r="G66" s="60"/>
      <c r="H66" s="60"/>
      <c r="I66" s="60"/>
      <c r="J66" s="60"/>
      <c r="K66" s="60"/>
      <c r="L66" s="60"/>
      <c r="M66" s="60"/>
      <c r="N66" s="60"/>
      <c r="O66" s="60"/>
      <c r="P66" s="60"/>
      <c r="Q66" s="60"/>
      <c r="R66" s="60"/>
      <c r="S66" s="60"/>
      <c r="T66" s="60"/>
      <c r="U66" s="60"/>
      <c r="V66" s="60"/>
      <c r="W66" s="60"/>
    </row>
    <row r="67" spans="2:23">
      <c r="B67" s="107"/>
      <c r="C67" s="60"/>
      <c r="D67" s="60"/>
      <c r="E67" s="60"/>
      <c r="F67" s="60"/>
      <c r="G67" s="60"/>
      <c r="H67" s="60"/>
      <c r="I67" s="60"/>
      <c r="J67" s="60"/>
      <c r="K67" s="60"/>
      <c r="L67" s="60"/>
      <c r="M67" s="60"/>
      <c r="N67" s="60"/>
      <c r="O67" s="60"/>
      <c r="P67" s="60"/>
      <c r="Q67" s="60"/>
      <c r="R67" s="60"/>
      <c r="S67" s="60"/>
      <c r="T67" s="60"/>
      <c r="U67" s="60"/>
      <c r="V67" s="60"/>
      <c r="W67" s="60"/>
    </row>
    <row r="68" spans="2:23">
      <c r="B68" s="107"/>
      <c r="C68" s="60"/>
      <c r="D68" s="60"/>
      <c r="E68" s="60"/>
      <c r="F68" s="60"/>
      <c r="G68" s="60"/>
      <c r="H68" s="60"/>
      <c r="I68" s="60"/>
      <c r="J68" s="60"/>
      <c r="K68" s="60"/>
      <c r="L68" s="60"/>
      <c r="M68" s="60"/>
      <c r="N68" s="60"/>
      <c r="O68" s="60"/>
      <c r="P68" s="60"/>
      <c r="Q68" s="60"/>
      <c r="R68" s="60"/>
      <c r="S68" s="60"/>
      <c r="T68" s="60"/>
      <c r="U68" s="60"/>
      <c r="V68" s="60"/>
      <c r="W68" s="60"/>
    </row>
    <row r="69" spans="2:23">
      <c r="B69" s="107"/>
      <c r="C69" s="60"/>
      <c r="D69" s="60"/>
      <c r="E69" s="60"/>
      <c r="F69" s="60"/>
      <c r="G69" s="60"/>
      <c r="H69" s="60"/>
      <c r="I69" s="60"/>
      <c r="J69" s="60"/>
      <c r="K69" s="60"/>
      <c r="L69" s="60"/>
      <c r="M69" s="60"/>
      <c r="N69" s="60"/>
      <c r="O69" s="60"/>
      <c r="P69" s="60"/>
      <c r="Q69" s="60"/>
      <c r="R69" s="60"/>
      <c r="S69" s="60"/>
      <c r="T69" s="60"/>
      <c r="U69" s="60"/>
      <c r="V69" s="60"/>
      <c r="W69" s="60"/>
    </row>
    <row r="70" spans="2:23">
      <c r="B70" s="107"/>
      <c r="C70" s="60"/>
      <c r="D70" s="60"/>
      <c r="E70" s="60"/>
      <c r="F70" s="60"/>
      <c r="G70" s="60"/>
      <c r="H70" s="60"/>
      <c r="I70" s="60"/>
      <c r="J70" s="60"/>
      <c r="K70" s="60"/>
      <c r="L70" s="60"/>
      <c r="M70" s="60"/>
      <c r="N70" s="60"/>
      <c r="O70" s="60"/>
      <c r="P70" s="60"/>
      <c r="Q70" s="60"/>
      <c r="R70" s="60"/>
      <c r="S70" s="60"/>
      <c r="T70" s="60"/>
      <c r="U70" s="60"/>
      <c r="V70" s="60"/>
      <c r="W70" s="60"/>
    </row>
    <row r="71" spans="2:23">
      <c r="B71" s="107"/>
      <c r="C71" s="60"/>
      <c r="D71" s="60"/>
      <c r="E71" s="60"/>
      <c r="F71" s="60"/>
      <c r="G71" s="60"/>
      <c r="H71" s="60"/>
      <c r="I71" s="60"/>
      <c r="J71" s="60"/>
      <c r="K71" s="60"/>
      <c r="L71" s="60"/>
      <c r="M71" s="60"/>
      <c r="N71" s="60"/>
      <c r="O71" s="60"/>
      <c r="P71" s="60"/>
      <c r="Q71" s="60"/>
      <c r="R71" s="60"/>
      <c r="S71" s="60"/>
      <c r="T71" s="60"/>
      <c r="U71" s="60"/>
      <c r="V71" s="60"/>
      <c r="W71" s="60"/>
    </row>
    <row r="72" spans="2:23">
      <c r="B72" s="107"/>
      <c r="C72" s="60"/>
      <c r="D72" s="60"/>
      <c r="E72" s="60"/>
      <c r="F72" s="60"/>
      <c r="G72" s="60"/>
      <c r="H72" s="60"/>
      <c r="I72" s="60"/>
      <c r="J72" s="60"/>
      <c r="K72" s="60"/>
      <c r="L72" s="60"/>
      <c r="M72" s="60"/>
      <c r="N72" s="60"/>
      <c r="O72" s="60"/>
      <c r="P72" s="60"/>
      <c r="Q72" s="60"/>
      <c r="R72" s="60"/>
      <c r="S72" s="60"/>
      <c r="T72" s="60"/>
      <c r="U72" s="60"/>
      <c r="V72" s="60"/>
      <c r="W72" s="60"/>
    </row>
    <row r="73" spans="2:23">
      <c r="B73" s="107"/>
      <c r="C73" s="60"/>
      <c r="D73" s="60"/>
      <c r="E73" s="60"/>
      <c r="F73" s="60"/>
      <c r="G73" s="60"/>
      <c r="H73" s="60"/>
      <c r="I73" s="60"/>
      <c r="J73" s="60"/>
      <c r="K73" s="60"/>
      <c r="L73" s="60"/>
      <c r="M73" s="60"/>
      <c r="N73" s="60"/>
      <c r="O73" s="60"/>
      <c r="P73" s="60"/>
      <c r="Q73" s="60"/>
      <c r="R73" s="60"/>
      <c r="S73" s="60"/>
      <c r="T73" s="60"/>
      <c r="U73" s="60"/>
      <c r="V73" s="60"/>
      <c r="W73" s="60"/>
    </row>
    <row r="74" spans="2:23">
      <c r="B74" s="107"/>
      <c r="C74" s="60"/>
      <c r="D74" s="60"/>
      <c r="E74" s="60"/>
      <c r="F74" s="60"/>
      <c r="G74" s="60"/>
      <c r="H74" s="60"/>
      <c r="I74" s="60"/>
      <c r="J74" s="60"/>
      <c r="K74" s="60"/>
      <c r="L74" s="60"/>
      <c r="M74" s="60"/>
      <c r="N74" s="60"/>
      <c r="O74" s="60"/>
      <c r="P74" s="60"/>
      <c r="Q74" s="60"/>
      <c r="R74" s="60"/>
      <c r="S74" s="60"/>
      <c r="T74" s="60"/>
      <c r="U74" s="60"/>
      <c r="V74" s="60"/>
      <c r="W74" s="60"/>
    </row>
    <row r="75" spans="2:23">
      <c r="B75" s="107"/>
      <c r="C75" s="60"/>
      <c r="D75" s="60"/>
      <c r="E75" s="60"/>
      <c r="F75" s="60"/>
      <c r="G75" s="60"/>
      <c r="H75" s="60"/>
      <c r="I75" s="60"/>
      <c r="J75" s="60"/>
      <c r="K75" s="60"/>
      <c r="L75" s="60"/>
      <c r="M75" s="60"/>
      <c r="N75" s="60"/>
      <c r="O75" s="60"/>
      <c r="P75" s="60"/>
      <c r="Q75" s="60"/>
      <c r="R75" s="60"/>
      <c r="S75" s="60"/>
      <c r="T75" s="60"/>
      <c r="U75" s="60"/>
      <c r="V75" s="60"/>
      <c r="W75" s="60"/>
    </row>
    <row r="76" spans="2:23">
      <c r="B76" s="107"/>
      <c r="C76" s="60"/>
      <c r="D76" s="60"/>
      <c r="E76" s="60"/>
      <c r="F76" s="60"/>
      <c r="G76" s="60"/>
      <c r="H76" s="60"/>
      <c r="I76" s="60"/>
      <c r="J76" s="60"/>
      <c r="K76" s="60"/>
      <c r="L76" s="60"/>
      <c r="M76" s="60"/>
      <c r="N76" s="60"/>
      <c r="O76" s="60"/>
      <c r="P76" s="60"/>
      <c r="Q76" s="60"/>
      <c r="R76" s="60"/>
      <c r="S76" s="60"/>
      <c r="T76" s="60"/>
      <c r="U76" s="60"/>
      <c r="V76" s="60"/>
      <c r="W76" s="60"/>
    </row>
    <row r="77" spans="2:23">
      <c r="B77" s="107"/>
      <c r="C77" s="60"/>
      <c r="D77" s="60"/>
      <c r="E77" s="60"/>
      <c r="F77" s="60"/>
      <c r="G77" s="60"/>
      <c r="H77" s="60"/>
      <c r="I77" s="60"/>
      <c r="J77" s="60"/>
      <c r="K77" s="60"/>
      <c r="L77" s="60"/>
      <c r="M77" s="60"/>
      <c r="N77" s="60"/>
      <c r="O77" s="60"/>
      <c r="P77" s="60"/>
      <c r="Q77" s="60"/>
      <c r="R77" s="60"/>
      <c r="S77" s="60"/>
      <c r="T77" s="60"/>
      <c r="U77" s="60"/>
      <c r="V77" s="60"/>
      <c r="W77" s="60"/>
    </row>
    <row r="78" spans="2:23">
      <c r="B78" s="107"/>
      <c r="C78" s="60"/>
      <c r="D78" s="60"/>
      <c r="E78" s="60"/>
      <c r="F78" s="60"/>
      <c r="G78" s="60"/>
      <c r="H78" s="60"/>
      <c r="I78" s="60"/>
      <c r="J78" s="60"/>
      <c r="K78" s="60"/>
      <c r="L78" s="60"/>
      <c r="M78" s="60"/>
      <c r="N78" s="60"/>
      <c r="O78" s="60"/>
      <c r="P78" s="60"/>
      <c r="Q78" s="60"/>
      <c r="R78" s="60"/>
      <c r="S78" s="60"/>
      <c r="T78" s="60"/>
      <c r="U78" s="60"/>
      <c r="V78" s="60"/>
      <c r="W78" s="60"/>
    </row>
    <row r="79" spans="2:23">
      <c r="B79" s="107"/>
      <c r="C79" s="60"/>
      <c r="D79" s="60"/>
      <c r="E79" s="60"/>
      <c r="F79" s="60"/>
      <c r="G79" s="60"/>
      <c r="H79" s="60"/>
      <c r="I79" s="60"/>
      <c r="J79" s="60"/>
      <c r="K79" s="60"/>
      <c r="L79" s="60"/>
      <c r="M79" s="60"/>
      <c r="N79" s="60"/>
      <c r="O79" s="60"/>
      <c r="P79" s="60"/>
      <c r="Q79" s="60"/>
      <c r="R79" s="60"/>
      <c r="S79" s="60"/>
      <c r="T79" s="60"/>
      <c r="U79" s="60"/>
      <c r="V79" s="60"/>
      <c r="W79" s="60"/>
    </row>
    <row r="80" spans="2:23">
      <c r="B80" s="107"/>
      <c r="C80" s="60"/>
      <c r="D80" s="60"/>
      <c r="E80" s="60"/>
      <c r="F80" s="60"/>
      <c r="G80" s="60"/>
      <c r="H80" s="60"/>
      <c r="I80" s="60"/>
      <c r="J80" s="60"/>
      <c r="K80" s="60"/>
      <c r="L80" s="60"/>
      <c r="M80" s="60"/>
      <c r="N80" s="60"/>
      <c r="O80" s="60"/>
      <c r="P80" s="60"/>
      <c r="Q80" s="60"/>
      <c r="R80" s="60"/>
      <c r="S80" s="60"/>
      <c r="T80" s="60"/>
      <c r="U80" s="60"/>
      <c r="V80" s="60"/>
      <c r="W80" s="60"/>
    </row>
    <row r="81" spans="2:23">
      <c r="B81" s="107"/>
      <c r="C81" s="60"/>
      <c r="D81" s="60"/>
      <c r="E81" s="60"/>
      <c r="F81" s="60"/>
      <c r="G81" s="60"/>
      <c r="H81" s="60"/>
      <c r="I81" s="60"/>
      <c r="J81" s="60"/>
      <c r="K81" s="60"/>
      <c r="L81" s="60"/>
      <c r="M81" s="60"/>
      <c r="N81" s="60"/>
      <c r="O81" s="60"/>
      <c r="P81" s="60"/>
      <c r="Q81" s="60"/>
      <c r="R81" s="60"/>
      <c r="S81" s="60"/>
      <c r="T81" s="60"/>
      <c r="U81" s="60"/>
      <c r="V81" s="60"/>
      <c r="W81" s="60"/>
    </row>
    <row r="82" spans="2:23">
      <c r="B82" s="107"/>
      <c r="C82" s="60"/>
      <c r="D82" s="60"/>
      <c r="E82" s="60"/>
      <c r="F82" s="60"/>
      <c r="G82" s="60"/>
      <c r="H82" s="60"/>
      <c r="I82" s="60"/>
      <c r="J82" s="60"/>
      <c r="K82" s="60"/>
      <c r="L82" s="60"/>
      <c r="M82" s="60"/>
      <c r="N82" s="60"/>
      <c r="O82" s="60"/>
      <c r="P82" s="60"/>
      <c r="Q82" s="60"/>
      <c r="R82" s="60"/>
      <c r="S82" s="60"/>
      <c r="T82" s="60"/>
      <c r="U82" s="60"/>
      <c r="V82" s="60"/>
      <c r="W82" s="60"/>
    </row>
    <row r="83" spans="2:23">
      <c r="B83" s="107"/>
      <c r="C83" s="60"/>
      <c r="D83" s="60"/>
      <c r="E83" s="60"/>
      <c r="F83" s="60"/>
      <c r="G83" s="60"/>
      <c r="H83" s="60"/>
      <c r="I83" s="60"/>
      <c r="J83" s="60"/>
      <c r="K83" s="60"/>
      <c r="L83" s="60"/>
      <c r="M83" s="60"/>
      <c r="N83" s="60"/>
      <c r="O83" s="60"/>
      <c r="P83" s="60"/>
      <c r="Q83" s="60"/>
      <c r="R83" s="60"/>
      <c r="S83" s="60"/>
      <c r="T83" s="60"/>
      <c r="U83" s="60"/>
      <c r="V83" s="60"/>
      <c r="W83" s="60"/>
    </row>
    <row r="84" spans="2:23">
      <c r="B84" s="107"/>
      <c r="C84" s="60"/>
      <c r="D84" s="60"/>
      <c r="E84" s="60"/>
      <c r="F84" s="60"/>
      <c r="G84" s="60"/>
      <c r="H84" s="60"/>
      <c r="I84" s="60"/>
      <c r="J84" s="60"/>
      <c r="K84" s="60"/>
      <c r="L84" s="60"/>
      <c r="M84" s="60"/>
      <c r="N84" s="60"/>
      <c r="O84" s="60"/>
      <c r="P84" s="60"/>
      <c r="Q84" s="60"/>
      <c r="R84" s="60"/>
      <c r="S84" s="60"/>
      <c r="T84" s="60"/>
      <c r="U84" s="60"/>
      <c r="V84" s="60"/>
      <c r="W84" s="60"/>
    </row>
    <row r="85" spans="2:23">
      <c r="B85" s="107"/>
      <c r="C85" s="60"/>
      <c r="D85" s="60"/>
      <c r="E85" s="60"/>
      <c r="F85" s="60"/>
      <c r="G85" s="60"/>
      <c r="H85" s="60"/>
      <c r="I85" s="60"/>
      <c r="J85" s="60"/>
      <c r="K85" s="60"/>
      <c r="L85" s="60"/>
      <c r="M85" s="60"/>
      <c r="N85" s="60"/>
      <c r="O85" s="60"/>
      <c r="P85" s="60"/>
      <c r="Q85" s="60"/>
      <c r="R85" s="60"/>
      <c r="S85" s="60"/>
      <c r="T85" s="60"/>
      <c r="U85" s="60"/>
      <c r="V85" s="60"/>
      <c r="W85" s="60"/>
    </row>
    <row r="86" spans="2:23">
      <c r="B86" s="107"/>
      <c r="C86" s="60"/>
      <c r="D86" s="60"/>
      <c r="E86" s="60"/>
      <c r="F86" s="60"/>
      <c r="G86" s="60"/>
      <c r="H86" s="60"/>
      <c r="I86" s="60"/>
      <c r="J86" s="60"/>
      <c r="K86" s="60"/>
      <c r="L86" s="60"/>
      <c r="M86" s="60"/>
      <c r="N86" s="60"/>
      <c r="O86" s="60"/>
      <c r="P86" s="60"/>
      <c r="Q86" s="60"/>
      <c r="R86" s="60"/>
      <c r="S86" s="60"/>
      <c r="T86" s="60"/>
      <c r="U86" s="60"/>
      <c r="V86" s="60"/>
      <c r="W86" s="60"/>
    </row>
    <row r="87" spans="2:23">
      <c r="B87" s="107"/>
      <c r="C87" s="60"/>
      <c r="D87" s="60"/>
      <c r="E87" s="60"/>
      <c r="F87" s="60"/>
      <c r="G87" s="60"/>
      <c r="H87" s="60"/>
      <c r="I87" s="60"/>
      <c r="J87" s="60"/>
      <c r="K87" s="60"/>
      <c r="L87" s="60"/>
      <c r="M87" s="60"/>
      <c r="N87" s="60"/>
      <c r="O87" s="60"/>
      <c r="P87" s="60"/>
      <c r="Q87" s="60"/>
      <c r="R87" s="60"/>
      <c r="S87" s="60"/>
      <c r="T87" s="60"/>
      <c r="U87" s="60"/>
      <c r="V87" s="60"/>
      <c r="W87" s="60"/>
    </row>
    <row r="88" spans="2:23">
      <c r="B88" s="107"/>
      <c r="C88" s="60"/>
      <c r="D88" s="60"/>
      <c r="E88" s="60"/>
      <c r="F88" s="60"/>
      <c r="G88" s="60"/>
      <c r="H88" s="60"/>
      <c r="I88" s="60"/>
      <c r="J88" s="60"/>
      <c r="K88" s="60"/>
      <c r="L88" s="60"/>
      <c r="M88" s="60"/>
      <c r="N88" s="60"/>
      <c r="O88" s="60"/>
      <c r="P88" s="60"/>
      <c r="Q88" s="60"/>
      <c r="R88" s="60"/>
      <c r="S88" s="60"/>
      <c r="T88" s="60"/>
      <c r="U88" s="60"/>
      <c r="V88" s="60"/>
      <c r="W88" s="60"/>
    </row>
    <row r="89" spans="2:23">
      <c r="B89" s="107"/>
      <c r="C89" s="60"/>
      <c r="D89" s="60"/>
      <c r="E89" s="60"/>
      <c r="F89" s="60"/>
      <c r="G89" s="60"/>
      <c r="H89" s="60"/>
      <c r="I89" s="60"/>
      <c r="J89" s="60"/>
      <c r="K89" s="60"/>
      <c r="L89" s="60"/>
      <c r="M89" s="60"/>
      <c r="N89" s="60"/>
      <c r="O89" s="60"/>
      <c r="P89" s="60"/>
      <c r="Q89" s="60"/>
      <c r="R89" s="60"/>
      <c r="S89" s="60"/>
      <c r="T89" s="60"/>
      <c r="U89" s="60"/>
      <c r="V89" s="60"/>
      <c r="W89" s="60"/>
    </row>
    <row r="90" spans="2:23">
      <c r="B90" s="107"/>
      <c r="C90" s="60"/>
      <c r="D90" s="60"/>
      <c r="E90" s="60"/>
      <c r="F90" s="60"/>
      <c r="G90" s="60"/>
      <c r="H90" s="60"/>
      <c r="I90" s="60"/>
      <c r="J90" s="60"/>
      <c r="K90" s="60"/>
      <c r="L90" s="60"/>
      <c r="M90" s="60"/>
      <c r="N90" s="60"/>
      <c r="O90" s="60"/>
      <c r="P90" s="60"/>
      <c r="Q90" s="60"/>
      <c r="R90" s="60"/>
      <c r="S90" s="60"/>
      <c r="T90" s="60"/>
      <c r="U90" s="60"/>
      <c r="V90" s="60"/>
      <c r="W90" s="60"/>
    </row>
    <row r="91" spans="2:23">
      <c r="B91" s="107"/>
      <c r="C91" s="60"/>
      <c r="D91" s="60"/>
      <c r="E91" s="60"/>
      <c r="F91" s="60"/>
      <c r="G91" s="60"/>
      <c r="H91" s="60"/>
      <c r="I91" s="60"/>
      <c r="J91" s="60"/>
      <c r="K91" s="60"/>
      <c r="L91" s="60"/>
      <c r="M91" s="60"/>
      <c r="N91" s="60"/>
      <c r="O91" s="60"/>
      <c r="P91" s="60"/>
      <c r="Q91" s="60"/>
      <c r="R91" s="60"/>
      <c r="S91" s="60"/>
      <c r="T91" s="60"/>
      <c r="U91" s="60"/>
      <c r="V91" s="60"/>
      <c r="W91" s="60"/>
    </row>
  </sheetData>
  <printOptions horizontalCentered="1"/>
  <pageMargins left="0.25" right="0.25" top="1" bottom="1" header="0.65" footer="0.5"/>
  <pageSetup scale="70" orientation="landscape" horizontalDpi="1200" verticalDpi="1200" r:id="rId1"/>
  <headerFooter alignWithMargins="0">
    <oddHeader xml:space="preserve">&amp;R&amp;16AEP - SPP Transco Formula Rate
Actual/Projected NITS Rates
Page: &amp;P of &amp;N
</oddHeader>
    <oddFooter xml:space="preserve">&amp;C &amp;R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244"/>
  <sheetViews>
    <sheetView topLeftCell="A14" zoomScale="81" zoomScaleNormal="81" zoomScaleSheetLayoutView="93" zoomScalePageLayoutView="80" workbookViewId="0">
      <selection activeCell="D19" sqref="D19"/>
    </sheetView>
  </sheetViews>
  <sheetFormatPr defaultColWidth="9.1796875" defaultRowHeight="12.5"/>
  <cols>
    <col min="1" max="2" width="9.7265625" style="503" customWidth="1"/>
    <col min="3" max="3" width="50.7265625" style="504" customWidth="1"/>
    <col min="4" max="10" width="16.7265625" style="504" customWidth="1"/>
    <col min="11" max="11" width="13.81640625" style="504" customWidth="1"/>
    <col min="12" max="16384" width="9.1796875" style="504"/>
  </cols>
  <sheetData>
    <row r="1" spans="1:16" ht="15.5">
      <c r="A1" s="502"/>
    </row>
    <row r="2" spans="1:16" ht="17.5">
      <c r="A2" s="2001" t="str">
        <f>+'OKT TCOS'!F4</f>
        <v xml:space="preserve">AEP West SPP Member Transmission Companies </v>
      </c>
      <c r="B2" s="2001"/>
      <c r="C2" s="2001"/>
      <c r="D2" s="2001"/>
      <c r="E2" s="2001"/>
      <c r="F2" s="2001"/>
      <c r="G2" s="2001"/>
      <c r="H2" s="2001"/>
      <c r="I2" s="2001"/>
      <c r="J2" s="2001"/>
      <c r="K2" s="505"/>
      <c r="L2" s="497"/>
      <c r="M2" s="497"/>
      <c r="N2" s="497"/>
      <c r="O2" s="497"/>
      <c r="P2" s="497"/>
    </row>
    <row r="3" spans="1:16" ht="17.5">
      <c r="A3" s="2002" t="str">
        <f>+'OKT WS A-1 - Plant'!A3</f>
        <v xml:space="preserve">Actual / Projected 2019 Rate Year Cost of Service Formula Rate </v>
      </c>
      <c r="B3" s="2002"/>
      <c r="C3" s="2002"/>
      <c r="D3" s="2002"/>
      <c r="E3" s="2002"/>
      <c r="F3" s="2002"/>
      <c r="G3" s="2002"/>
      <c r="H3" s="2002"/>
      <c r="I3" s="2002"/>
      <c r="J3" s="2002"/>
      <c r="K3" s="505"/>
      <c r="L3" s="497"/>
      <c r="M3" s="497"/>
      <c r="N3" s="497"/>
      <c r="O3" s="497"/>
      <c r="P3" s="497"/>
    </row>
    <row r="4" spans="1:16" ht="18">
      <c r="A4" s="2002" t="s">
        <v>529</v>
      </c>
      <c r="B4" s="2002"/>
      <c r="C4" s="2002"/>
      <c r="D4" s="2002"/>
      <c r="E4" s="2002"/>
      <c r="F4" s="2002"/>
      <c r="G4" s="2002"/>
      <c r="H4" s="2002"/>
      <c r="I4" s="2002"/>
      <c r="J4" s="2002"/>
    </row>
    <row r="5" spans="1:16" ht="18">
      <c r="A5" s="2003" t="str">
        <f>+'OKT TCOS'!F8</f>
        <v>AEP OKLAHOMA TRANSMISSION COMPANY, INC.</v>
      </c>
      <c r="B5" s="2003"/>
      <c r="C5" s="2003"/>
      <c r="D5" s="2003"/>
      <c r="E5" s="2003"/>
      <c r="F5" s="2003"/>
      <c r="G5" s="2003"/>
      <c r="H5" s="2003"/>
      <c r="I5" s="2003"/>
      <c r="J5" s="2003"/>
    </row>
    <row r="6" spans="1:16" ht="20">
      <c r="B6" s="506"/>
      <c r="C6" s="507"/>
      <c r="D6" s="507"/>
      <c r="E6" s="508"/>
      <c r="F6" s="507"/>
      <c r="G6" s="507"/>
      <c r="H6" s="507"/>
      <c r="I6" s="507"/>
      <c r="J6" s="508"/>
    </row>
    <row r="7" spans="1:16" ht="20">
      <c r="B7" s="506"/>
      <c r="C7" s="508" t="s">
        <v>253</v>
      </c>
      <c r="D7" s="507"/>
      <c r="E7" s="508"/>
      <c r="F7" s="507"/>
      <c r="G7" s="507"/>
      <c r="H7" s="507"/>
      <c r="I7" s="507"/>
      <c r="J7" s="507"/>
    </row>
    <row r="8" spans="1:16" ht="13">
      <c r="C8" s="509"/>
      <c r="G8" s="503"/>
      <c r="H8" s="503"/>
      <c r="I8" s="503"/>
    </row>
    <row r="9" spans="1:16" ht="13">
      <c r="B9" s="510" t="s">
        <v>300</v>
      </c>
      <c r="C9" s="510" t="s">
        <v>301</v>
      </c>
      <c r="D9" s="510" t="s">
        <v>302</v>
      </c>
      <c r="E9" s="510" t="s">
        <v>228</v>
      </c>
      <c r="F9" s="510" t="s">
        <v>229</v>
      </c>
      <c r="G9" s="510" t="s">
        <v>230</v>
      </c>
      <c r="H9" s="510" t="s">
        <v>235</v>
      </c>
      <c r="I9" s="510" t="s">
        <v>176</v>
      </c>
      <c r="J9" s="510" t="s">
        <v>73</v>
      </c>
    </row>
    <row r="10" spans="1:16" ht="13">
      <c r="E10" s="511" t="s">
        <v>253</v>
      </c>
      <c r="F10" s="512" t="s">
        <v>231</v>
      </c>
      <c r="G10" s="510" t="s">
        <v>157</v>
      </c>
      <c r="H10" s="510" t="s">
        <v>74</v>
      </c>
      <c r="I10" s="510" t="s">
        <v>253</v>
      </c>
      <c r="J10" s="510" t="s">
        <v>316</v>
      </c>
    </row>
    <row r="11" spans="1:16" ht="13">
      <c r="A11" s="510" t="s">
        <v>307</v>
      </c>
      <c r="C11" s="513"/>
      <c r="D11" s="510"/>
      <c r="E11" s="510" t="s">
        <v>253</v>
      </c>
      <c r="F11" s="510" t="s">
        <v>254</v>
      </c>
      <c r="G11" s="510" t="s">
        <v>192</v>
      </c>
      <c r="H11" s="510" t="s">
        <v>75</v>
      </c>
      <c r="I11" s="510" t="s">
        <v>299</v>
      </c>
      <c r="J11" s="510" t="s">
        <v>72</v>
      </c>
    </row>
    <row r="12" spans="1:16" ht="13">
      <c r="A12" s="514" t="s">
        <v>256</v>
      </c>
      <c r="B12" s="514" t="s">
        <v>234</v>
      </c>
      <c r="C12" s="514" t="s">
        <v>305</v>
      </c>
      <c r="D12" s="514" t="s">
        <v>232</v>
      </c>
      <c r="E12" s="514" t="s">
        <v>76</v>
      </c>
      <c r="F12" s="514" t="s">
        <v>193</v>
      </c>
      <c r="G12" s="514" t="s">
        <v>193</v>
      </c>
      <c r="H12" s="514" t="s">
        <v>77</v>
      </c>
      <c r="I12" s="514" t="s">
        <v>193</v>
      </c>
      <c r="J12" s="514" t="s">
        <v>78</v>
      </c>
    </row>
    <row r="13" spans="1:16" ht="13">
      <c r="C13" s="509"/>
      <c r="G13" s="503"/>
      <c r="H13" s="503"/>
      <c r="I13" s="503"/>
    </row>
    <row r="14" spans="1:16" ht="12.75" customHeight="1">
      <c r="C14" s="513"/>
      <c r="G14" s="503"/>
      <c r="H14" s="503"/>
      <c r="I14" s="503"/>
    </row>
    <row r="15" spans="1:16" ht="12.75" customHeight="1">
      <c r="B15" s="515" t="s">
        <v>503</v>
      </c>
      <c r="C15" s="513"/>
      <c r="G15" s="503"/>
      <c r="H15" s="503"/>
      <c r="I15" s="503"/>
    </row>
    <row r="16" spans="1:16" ht="12.75" customHeight="1">
      <c r="C16" s="513"/>
      <c r="G16" s="503"/>
      <c r="H16" s="503"/>
      <c r="I16" s="503"/>
    </row>
    <row r="17" spans="1:10" ht="15.5">
      <c r="C17" s="516" t="s">
        <v>505</v>
      </c>
    </row>
    <row r="18" spans="1:10" ht="6" customHeight="1">
      <c r="C18" s="517"/>
    </row>
    <row r="19" spans="1:10" ht="12.75" customHeight="1">
      <c r="A19" s="503">
        <v>1</v>
      </c>
      <c r="B19" s="518" t="s">
        <v>81</v>
      </c>
      <c r="C19" s="519" t="str">
        <f>""&amp;'OKT TCOS'!N2&amp;" Year End Tax Deferrals - WS C-1"</f>
        <v>2019 Year End Tax Deferrals - WS C-1</v>
      </c>
      <c r="D19" s="520">
        <f>+'OKT WS C-1 ADIT EOY'!H28</f>
        <v>-176345237.04000002</v>
      </c>
      <c r="E19" s="520">
        <f>+'OKT WS C-1 ADIT EOY'!J28</f>
        <v>-12140107.532823775</v>
      </c>
      <c r="F19" s="520">
        <f>+'OKT WS C-1 ADIT EOY'!K28</f>
        <v>-162110089.8671762</v>
      </c>
      <c r="G19" s="520">
        <f>+'OKT WS C-1 ADIT EOY'!L28</f>
        <v>0</v>
      </c>
      <c r="H19" s="520">
        <f>+'OKT WS C-1 ADIT EOY'!M28</f>
        <v>0</v>
      </c>
      <c r="I19" s="520">
        <f>+'OKT WS C-1 ADIT EOY'!N28</f>
        <v>-2095039.64</v>
      </c>
      <c r="J19" s="521"/>
    </row>
    <row r="20" spans="1:10" ht="12.75" customHeight="1">
      <c r="A20" s="503">
        <f>+A19+1</f>
        <v>2</v>
      </c>
      <c r="B20" s="518" t="s">
        <v>81</v>
      </c>
      <c r="C20" s="519" t="str">
        <f>""&amp;'OKT TCOS'!N2-1&amp;" Year End Tax Deferrals - WS C-2"</f>
        <v>2018 Year End Tax Deferrals - WS C-2</v>
      </c>
      <c r="D20" s="520">
        <f>+'OKT WS C-2 ADIT BOY'!H28</f>
        <v>-166049283.33000001</v>
      </c>
      <c r="E20" s="520">
        <f>+'OKT WS C-2 ADIT BOY'!J28</f>
        <v>-10715853.597692903</v>
      </c>
      <c r="F20" s="520">
        <f>+'OKT WS C-2 ADIT BOY'!K28</f>
        <v>-153777393.60230708</v>
      </c>
      <c r="G20" s="520">
        <f>+'OKT WS C-2 ADIT BOY'!L28</f>
        <v>0</v>
      </c>
      <c r="H20" s="520">
        <f>+'OKT WS C-2 ADIT BOY'!M28</f>
        <v>0</v>
      </c>
      <c r="I20" s="520">
        <f>+'OKT WS C-2 ADIT BOY'!N28</f>
        <v>-1556036.13</v>
      </c>
      <c r="J20" s="503"/>
    </row>
    <row r="21" spans="1:10" ht="12.75" customHeight="1">
      <c r="B21" s="522" t="s">
        <v>253</v>
      </c>
      <c r="D21" s="523"/>
      <c r="E21" s="524"/>
      <c r="F21" s="523"/>
      <c r="G21" s="523" t="s">
        <v>253</v>
      </c>
      <c r="H21" s="523"/>
      <c r="I21" s="523"/>
    </row>
    <row r="22" spans="1:10" ht="12.75" customHeight="1">
      <c r="A22" s="503">
        <f>+A20+1</f>
        <v>3</v>
      </c>
      <c r="C22" s="513" t="s">
        <v>79</v>
      </c>
      <c r="D22" s="525">
        <f t="shared" ref="D22:I22" si="0">D19+D20</f>
        <v>-342394520.37</v>
      </c>
      <c r="E22" s="525">
        <f t="shared" si="0"/>
        <v>-22855961.130516678</v>
      </c>
      <c r="F22" s="525">
        <f t="shared" si="0"/>
        <v>-315887483.46948326</v>
      </c>
      <c r="G22" s="525">
        <f t="shared" si="0"/>
        <v>0</v>
      </c>
      <c r="H22" s="525">
        <f t="shared" si="0"/>
        <v>0</v>
      </c>
      <c r="I22" s="525">
        <f t="shared" si="0"/>
        <v>-3651075.7699999996</v>
      </c>
      <c r="J22" s="526"/>
    </row>
    <row r="23" spans="1:10" ht="12.75" customHeight="1">
      <c r="A23" s="503">
        <f>+A22+1</f>
        <v>4</v>
      </c>
      <c r="C23" s="513" t="s">
        <v>616</v>
      </c>
      <c r="D23" s="527">
        <f t="shared" ref="D23:I23" si="1">D22/2</f>
        <v>-171197260.185</v>
      </c>
      <c r="E23" s="527">
        <f t="shared" si="1"/>
        <v>-11427980.565258339</v>
      </c>
      <c r="F23" s="527">
        <f t="shared" si="1"/>
        <v>-157943741.73474163</v>
      </c>
      <c r="G23" s="527">
        <f t="shared" si="1"/>
        <v>0</v>
      </c>
      <c r="H23" s="528">
        <f t="shared" si="1"/>
        <v>0</v>
      </c>
      <c r="I23" s="525">
        <f t="shared" si="1"/>
        <v>-1825537.8849999998</v>
      </c>
      <c r="J23" s="526"/>
    </row>
    <row r="24" spans="1:10" ht="12.75" customHeight="1">
      <c r="A24" s="503">
        <f>+A23+1</f>
        <v>5</v>
      </c>
      <c r="B24" s="529"/>
      <c r="C24" s="530" t="str">
        <f>"Proration Adjustment - WS C-3, Ln "&amp;'OKT WS C-3 ADIT Proration'!A34</f>
        <v>Proration Adjustment - WS C-3, Ln 19</v>
      </c>
      <c r="D24" s="527"/>
      <c r="E24" s="527"/>
      <c r="F24" s="527"/>
      <c r="G24" s="527">
        <f>'OKT WS C-3 ADIT Proration'!I34</f>
        <v>0</v>
      </c>
      <c r="H24" s="528"/>
      <c r="I24" s="531"/>
      <c r="J24" s="526"/>
    </row>
    <row r="25" spans="1:10" ht="12.75" customHeight="1">
      <c r="A25" s="503">
        <f>+A24+1</f>
        <v>6</v>
      </c>
      <c r="C25" s="513" t="s">
        <v>525</v>
      </c>
      <c r="D25" s="532">
        <f t="shared" ref="D25:I25" si="2">+D23+D24</f>
        <v>-171197260.185</v>
      </c>
      <c r="E25" s="532">
        <f t="shared" si="2"/>
        <v>-11427980.565258339</v>
      </c>
      <c r="F25" s="532">
        <f t="shared" si="2"/>
        <v>-157943741.73474163</v>
      </c>
      <c r="G25" s="532">
        <f t="shared" si="2"/>
        <v>0</v>
      </c>
      <c r="H25" s="532">
        <f t="shared" si="2"/>
        <v>0</v>
      </c>
      <c r="I25" s="532">
        <f t="shared" si="2"/>
        <v>-1825537.8849999998</v>
      </c>
      <c r="J25" s="526"/>
    </row>
    <row r="26" spans="1:10" ht="12.75" customHeight="1">
      <c r="A26" s="503">
        <f>+A25+1</f>
        <v>7</v>
      </c>
      <c r="B26" s="533"/>
      <c r="C26" s="534" t="s">
        <v>617</v>
      </c>
      <c r="D26" s="535"/>
      <c r="E26" s="536">
        <v>0</v>
      </c>
      <c r="F26" s="536">
        <v>1</v>
      </c>
      <c r="G26" s="536">
        <f>'OKT TCOS'!J63</f>
        <v>0.93070312372319608</v>
      </c>
      <c r="H26" s="536">
        <f>'OKT TCOS'!J64</f>
        <v>1</v>
      </c>
      <c r="I26" s="536">
        <f>'OKT TCOS'!L221</f>
        <v>0.93070312372319608</v>
      </c>
    </row>
    <row r="27" spans="1:10" ht="12.75" customHeight="1">
      <c r="A27" s="503">
        <f>+A26+1</f>
        <v>8</v>
      </c>
      <c r="C27" s="513" t="s">
        <v>80</v>
      </c>
      <c r="E27" s="526">
        <f>E26*E25</f>
        <v>0</v>
      </c>
      <c r="F27" s="526">
        <f>F26*F25</f>
        <v>-157943741.73474163</v>
      </c>
      <c r="G27" s="526">
        <f>G26*G25</f>
        <v>0</v>
      </c>
      <c r="H27" s="526">
        <f>H26*H25</f>
        <v>0</v>
      </c>
      <c r="I27" s="526">
        <f>I26*I25</f>
        <v>-1699033.8120445365</v>
      </c>
      <c r="J27" s="537">
        <f>SUM(F27:I27)</f>
        <v>-159642775.54678616</v>
      </c>
    </row>
    <row r="28" spans="1:10" ht="12.75" customHeight="1">
      <c r="C28" s="517"/>
    </row>
    <row r="29" spans="1:10" ht="12.75" customHeight="1">
      <c r="C29" s="517"/>
    </row>
    <row r="30" spans="1:10" ht="12.75" customHeight="1">
      <c r="C30" s="516" t="s">
        <v>506</v>
      </c>
    </row>
    <row r="31" spans="1:10" ht="6" customHeight="1">
      <c r="C31" s="517"/>
    </row>
    <row r="32" spans="1:10" ht="12.75" customHeight="1">
      <c r="A32" s="503">
        <f>+A27:B27+1</f>
        <v>9</v>
      </c>
      <c r="B32" s="518" t="s">
        <v>92</v>
      </c>
      <c r="C32" s="519" t="str">
        <f>+C19</f>
        <v>2019 Year End Tax Deferrals - WS C-1</v>
      </c>
      <c r="D32" s="520">
        <f>+'OKT WS C-1 ADIT EOY'!H41</f>
        <v>-30877517.420000002</v>
      </c>
      <c r="E32" s="520">
        <f>+'OKT WS C-1 ADIT EOY'!J41</f>
        <v>-2344100.3553926162</v>
      </c>
      <c r="F32" s="520">
        <f>+'OKT WS C-1 ADIT EOY'!K41</f>
        <v>-28533417.064607382</v>
      </c>
      <c r="G32" s="520">
        <f>+'OKT WS C-1 ADIT EOY'!L41</f>
        <v>0</v>
      </c>
      <c r="H32" s="520">
        <f>+'OKT WS C-1 ADIT EOY'!M41</f>
        <v>0</v>
      </c>
      <c r="I32" s="520">
        <f>+'OKT WS C-1 ADIT EOY'!N41</f>
        <v>0</v>
      </c>
      <c r="J32" s="521"/>
    </row>
    <row r="33" spans="1:10" ht="12.75" customHeight="1">
      <c r="A33" s="503">
        <f>+A32+1</f>
        <v>10</v>
      </c>
      <c r="B33" s="518" t="s">
        <v>92</v>
      </c>
      <c r="C33" s="519" t="str">
        <f>+C20</f>
        <v>2018 Year End Tax Deferrals - WS C-2</v>
      </c>
      <c r="D33" s="520">
        <f>+'OKT WS C-2 ADIT BOY'!H41</f>
        <v>-28696411.379999999</v>
      </c>
      <c r="E33" s="520">
        <f>+'OKT WS C-2 ADIT BOY'!J41</f>
        <v>-4827086.2005234864</v>
      </c>
      <c r="F33" s="520">
        <f>+'OKT WS C-2 ADIT BOY'!K41</f>
        <v>-23869325.179476514</v>
      </c>
      <c r="G33" s="520">
        <f>+'OKT WS C-2 ADIT BOY'!L41</f>
        <v>0</v>
      </c>
      <c r="H33" s="520">
        <f>+'OKT WS C-2 ADIT BOY'!M41</f>
        <v>0</v>
      </c>
      <c r="I33" s="520">
        <f>+'OKT WS C-2 ADIT BOY'!N41</f>
        <v>0</v>
      </c>
      <c r="J33" s="503"/>
    </row>
    <row r="34" spans="1:10" ht="12.75" customHeight="1">
      <c r="B34" s="522" t="s">
        <v>253</v>
      </c>
      <c r="D34" s="523"/>
      <c r="E34" s="524"/>
      <c r="F34" s="523"/>
      <c r="G34" s="523" t="s">
        <v>253</v>
      </c>
      <c r="H34" s="523"/>
      <c r="I34" s="523"/>
    </row>
    <row r="35" spans="1:10" ht="12.75" customHeight="1">
      <c r="A35" s="503">
        <f>+A33+1</f>
        <v>11</v>
      </c>
      <c r="C35" s="513" t="s">
        <v>79</v>
      </c>
      <c r="D35" s="525">
        <f t="shared" ref="D35:I35" si="3">D32+D33</f>
        <v>-59573928.799999997</v>
      </c>
      <c r="E35" s="525">
        <f t="shared" si="3"/>
        <v>-7171186.5559161026</v>
      </c>
      <c r="F35" s="525">
        <f t="shared" si="3"/>
        <v>-52402742.244083896</v>
      </c>
      <c r="G35" s="525">
        <f t="shared" si="3"/>
        <v>0</v>
      </c>
      <c r="H35" s="525">
        <f t="shared" si="3"/>
        <v>0</v>
      </c>
      <c r="I35" s="525">
        <f t="shared" si="3"/>
        <v>0</v>
      </c>
      <c r="J35" s="526"/>
    </row>
    <row r="36" spans="1:10" ht="12.75" customHeight="1">
      <c r="A36" s="503">
        <f>+A35+1</f>
        <v>12</v>
      </c>
      <c r="C36" s="513" t="s">
        <v>351</v>
      </c>
      <c r="D36" s="527">
        <f t="shared" ref="D36:I36" si="4">D35/2</f>
        <v>-29786964.399999999</v>
      </c>
      <c r="E36" s="527">
        <f t="shared" si="4"/>
        <v>-3585593.2779580513</v>
      </c>
      <c r="F36" s="527">
        <f t="shared" si="4"/>
        <v>-26201371.122041948</v>
      </c>
      <c r="G36" s="527">
        <f t="shared" si="4"/>
        <v>0</v>
      </c>
      <c r="H36" s="527">
        <f t="shared" si="4"/>
        <v>0</v>
      </c>
      <c r="I36" s="527">
        <f t="shared" si="4"/>
        <v>0</v>
      </c>
      <c r="J36" s="526"/>
    </row>
    <row r="37" spans="1:10" ht="12.75" customHeight="1">
      <c r="A37" s="503">
        <f>+A36+1</f>
        <v>13</v>
      </c>
      <c r="B37" s="533"/>
      <c r="C37" s="534" t="s">
        <v>618</v>
      </c>
      <c r="D37" s="535"/>
      <c r="E37" s="536">
        <f>E26</f>
        <v>0</v>
      </c>
      <c r="F37" s="536">
        <f>F26</f>
        <v>1</v>
      </c>
      <c r="G37" s="536">
        <f>G26</f>
        <v>0.93070312372319608</v>
      </c>
      <c r="H37" s="536">
        <f>H26</f>
        <v>1</v>
      </c>
      <c r="I37" s="536">
        <f>I26</f>
        <v>0.93070312372319608</v>
      </c>
    </row>
    <row r="38" spans="1:10" ht="12.75" customHeight="1">
      <c r="A38" s="503">
        <f>+A37+1</f>
        <v>14</v>
      </c>
      <c r="C38" s="513" t="s">
        <v>80</v>
      </c>
      <c r="E38" s="526">
        <f>E36*E37</f>
        <v>0</v>
      </c>
      <c r="F38" s="526">
        <f>F36*F37</f>
        <v>-26201371.122041948</v>
      </c>
      <c r="G38" s="526">
        <f>G36*G37</f>
        <v>0</v>
      </c>
      <c r="H38" s="526">
        <f>H36*H37</f>
        <v>0</v>
      </c>
      <c r="I38" s="526">
        <f>I36*I37</f>
        <v>0</v>
      </c>
      <c r="J38" s="537">
        <f>SUM(F38:I38)</f>
        <v>-26201371.122041948</v>
      </c>
    </row>
    <row r="39" spans="1:10" ht="12.75" customHeight="1">
      <c r="C39" s="517"/>
    </row>
    <row r="40" spans="1:10" ht="12.75" customHeight="1">
      <c r="B40" s="538"/>
      <c r="C40" s="539"/>
      <c r="D40" s="539"/>
      <c r="E40" s="539"/>
      <c r="F40" s="539"/>
      <c r="G40" s="539"/>
      <c r="H40" s="539"/>
      <c r="I40" s="539"/>
      <c r="J40" s="539"/>
    </row>
    <row r="41" spans="1:10" ht="12.75" customHeight="1">
      <c r="C41" s="513"/>
      <c r="E41" s="526"/>
      <c r="F41" s="526"/>
      <c r="G41" s="526"/>
      <c r="H41" s="526"/>
      <c r="I41" s="526"/>
      <c r="J41" s="540"/>
    </row>
    <row r="42" spans="1:10" ht="15.5">
      <c r="C42" s="516" t="s">
        <v>504</v>
      </c>
    </row>
    <row r="43" spans="1:10" ht="12.75" customHeight="1">
      <c r="I43" s="541"/>
    </row>
    <row r="44" spans="1:10" ht="12.75" customHeight="1">
      <c r="A44" s="503">
        <f>+A38+1</f>
        <v>15</v>
      </c>
      <c r="B44" s="542">
        <v>190.1</v>
      </c>
      <c r="C44" s="519" t="str">
        <f>+C19</f>
        <v>2019 Year End Tax Deferrals - WS C-1</v>
      </c>
      <c r="D44" s="520">
        <f>+'OKT WS C-1 ADIT EOY'!H62</f>
        <v>24423399.899999999</v>
      </c>
      <c r="E44" s="520">
        <f>+'OKT WS C-1 ADIT EOY'!J62</f>
        <v>15325732</v>
      </c>
      <c r="F44" s="520">
        <f>+'OKT WS C-1 ADIT EOY'!K62</f>
        <v>9079700.8900000006</v>
      </c>
      <c r="G44" s="520">
        <f>+'OKT WS C-1 ADIT EOY'!L62</f>
        <v>0</v>
      </c>
      <c r="H44" s="520">
        <f>+'OKT WS C-1 ADIT EOY'!M62</f>
        <v>0</v>
      </c>
      <c r="I44" s="520">
        <f>+'OKT WS C-1 ADIT EOY'!N62</f>
        <v>17967.009999999998</v>
      </c>
      <c r="J44" s="521"/>
    </row>
    <row r="45" spans="1:10">
      <c r="A45" s="503">
        <f>+A44+1</f>
        <v>16</v>
      </c>
      <c r="B45" s="542">
        <v>190.1</v>
      </c>
      <c r="C45" s="519" t="str">
        <f>+C20</f>
        <v>2018 Year End Tax Deferrals - WS C-2</v>
      </c>
      <c r="D45" s="520">
        <f>+'OKT WS C-2 ADIT BOY'!H61</f>
        <v>25873936.400000002</v>
      </c>
      <c r="E45" s="520">
        <f>+'OKT WS C-2 ADIT BOY'!J61</f>
        <v>15962329.75</v>
      </c>
      <c r="F45" s="520">
        <f>+'OKT WS C-2 ADIT BOY'!K61</f>
        <v>9832191.9700000007</v>
      </c>
      <c r="G45" s="520">
        <f>+'OKT WS C-2 ADIT BOY'!L61</f>
        <v>0</v>
      </c>
      <c r="H45" s="520">
        <f>+'OKT WS C-2 ADIT BOY'!M61</f>
        <v>0</v>
      </c>
      <c r="I45" s="520">
        <f>+'OKT WS C-2 ADIT BOY'!N61</f>
        <v>79414.679999999993</v>
      </c>
      <c r="J45" s="503"/>
    </row>
    <row r="46" spans="1:10" ht="13">
      <c r="B46" s="522" t="s">
        <v>253</v>
      </c>
      <c r="D46" s="523"/>
      <c r="E46" s="524"/>
      <c r="F46" s="523"/>
      <c r="G46" s="523" t="s">
        <v>253</v>
      </c>
      <c r="H46" s="523"/>
      <c r="I46" s="523"/>
    </row>
    <row r="47" spans="1:10" ht="13">
      <c r="A47" s="503">
        <f>+A45+1</f>
        <v>17</v>
      </c>
      <c r="C47" s="513" t="s">
        <v>79</v>
      </c>
      <c r="D47" s="525">
        <f t="shared" ref="D47:I47" si="5">D44+D45</f>
        <v>50297336.299999997</v>
      </c>
      <c r="E47" s="525">
        <f t="shared" si="5"/>
        <v>31288061.75</v>
      </c>
      <c r="F47" s="525">
        <f t="shared" si="5"/>
        <v>18911892.859999999</v>
      </c>
      <c r="G47" s="525">
        <f t="shared" si="5"/>
        <v>0</v>
      </c>
      <c r="H47" s="525">
        <f t="shared" si="5"/>
        <v>0</v>
      </c>
      <c r="I47" s="525">
        <f t="shared" si="5"/>
        <v>97381.689999999988</v>
      </c>
      <c r="J47" s="526"/>
    </row>
    <row r="48" spans="1:10" ht="13">
      <c r="A48" s="503">
        <f>+A47+1</f>
        <v>18</v>
      </c>
      <c r="C48" s="513" t="s">
        <v>616</v>
      </c>
      <c r="D48" s="528">
        <f t="shared" ref="D48:I48" si="6">D47/2</f>
        <v>25148668.149999999</v>
      </c>
      <c r="E48" s="528">
        <f t="shared" si="6"/>
        <v>15644030.875</v>
      </c>
      <c r="F48" s="528">
        <f t="shared" si="6"/>
        <v>9455946.4299999997</v>
      </c>
      <c r="G48" s="528">
        <f t="shared" si="6"/>
        <v>0</v>
      </c>
      <c r="H48" s="528">
        <f t="shared" si="6"/>
        <v>0</v>
      </c>
      <c r="I48" s="528">
        <f t="shared" si="6"/>
        <v>48690.844999999994</v>
      </c>
      <c r="J48" s="526"/>
    </row>
    <row r="49" spans="1:10" ht="13">
      <c r="A49" s="503">
        <f>+A48+1</f>
        <v>19</v>
      </c>
      <c r="C49" s="530" t="str">
        <f>"Proration Adjustment - WS C-3, Ln "&amp;'OKT WS C-3 ADIT Proration'!A60</f>
        <v>Proration Adjustment - WS C-3, Ln 38</v>
      </c>
      <c r="D49" s="527"/>
      <c r="E49" s="527"/>
      <c r="F49" s="527">
        <f>+'OKT WS C-3 ADIT Proration'!I60</f>
        <v>0</v>
      </c>
      <c r="G49" s="527"/>
      <c r="H49" s="528"/>
      <c r="I49" s="531"/>
      <c r="J49" s="526"/>
    </row>
    <row r="50" spans="1:10" ht="13">
      <c r="A50" s="503">
        <f>+A49+1</f>
        <v>20</v>
      </c>
      <c r="C50" s="513" t="s">
        <v>525</v>
      </c>
      <c r="D50" s="532">
        <f t="shared" ref="D50:I50" si="7">+D48+D49</f>
        <v>25148668.149999999</v>
      </c>
      <c r="E50" s="532">
        <f t="shared" si="7"/>
        <v>15644030.875</v>
      </c>
      <c r="F50" s="532">
        <f t="shared" si="7"/>
        <v>9455946.4299999997</v>
      </c>
      <c r="G50" s="532">
        <f t="shared" si="7"/>
        <v>0</v>
      </c>
      <c r="H50" s="532">
        <f t="shared" si="7"/>
        <v>0</v>
      </c>
      <c r="I50" s="532">
        <f t="shared" si="7"/>
        <v>48690.844999999994</v>
      </c>
      <c r="J50" s="526"/>
    </row>
    <row r="51" spans="1:10" ht="12.75" customHeight="1">
      <c r="A51" s="503">
        <f>+A50+1</f>
        <v>21</v>
      </c>
      <c r="B51" s="533"/>
      <c r="C51" s="534" t="s">
        <v>617</v>
      </c>
      <c r="D51" s="535"/>
      <c r="E51" s="536">
        <v>0</v>
      </c>
      <c r="F51" s="536">
        <v>1</v>
      </c>
      <c r="G51" s="536">
        <f>G37</f>
        <v>0.93070312372319608</v>
      </c>
      <c r="H51" s="536">
        <f>H37</f>
        <v>1</v>
      </c>
      <c r="I51" s="536">
        <f>I37</f>
        <v>0.93070312372319608</v>
      </c>
    </row>
    <row r="52" spans="1:10" ht="13">
      <c r="A52" s="503">
        <f>+A51+1</f>
        <v>22</v>
      </c>
      <c r="C52" s="513" t="s">
        <v>80</v>
      </c>
      <c r="E52" s="526">
        <f>E51*E50</f>
        <v>0</v>
      </c>
      <c r="F52" s="526">
        <f>F51*F50</f>
        <v>9455946.4299999997</v>
      </c>
      <c r="G52" s="526">
        <f>G51*G50</f>
        <v>0</v>
      </c>
      <c r="H52" s="526">
        <f>H51*H50</f>
        <v>0</v>
      </c>
      <c r="I52" s="526">
        <f>I51*I50</f>
        <v>45316.721538221958</v>
      </c>
      <c r="J52" s="537">
        <f>SUM(F52:I52)</f>
        <v>9501263.1515382212</v>
      </c>
    </row>
    <row r="53" spans="1:10" ht="13">
      <c r="E53" s="543"/>
      <c r="F53" s="543"/>
      <c r="G53" s="543"/>
      <c r="I53" s="541"/>
    </row>
    <row r="54" spans="1:10" ht="13">
      <c r="E54" s="544"/>
      <c r="F54" s="543"/>
      <c r="G54" s="1999" t="s">
        <v>71</v>
      </c>
      <c r="I54" s="541"/>
      <c r="J54" s="526" t="s">
        <v>253</v>
      </c>
    </row>
    <row r="55" spans="1:10" ht="15.5">
      <c r="C55" s="516" t="s">
        <v>82</v>
      </c>
      <c r="E55" s="544"/>
      <c r="F55" s="543"/>
      <c r="G55" s="2000"/>
    </row>
    <row r="56" spans="1:10" ht="6.75" customHeight="1">
      <c r="C56" s="517"/>
      <c r="E56" s="544"/>
      <c r="F56" s="543"/>
      <c r="G56" s="2000"/>
    </row>
    <row r="57" spans="1:10" ht="15.5">
      <c r="C57" s="545"/>
      <c r="G57" s="2000"/>
    </row>
    <row r="58" spans="1:10">
      <c r="A58" s="503">
        <f>+A52+1</f>
        <v>23</v>
      </c>
      <c r="B58" s="546">
        <v>255</v>
      </c>
      <c r="C58" s="547" t="str">
        <f>"Acc Defrd ITC - Federal - 12/31/"&amp;'OKT TCOS'!N2&amp;" (FF1 p. 267, Ln 2.h)"</f>
        <v>Acc Defrd ITC - Federal - 12/31/2019 (FF1 p. 267, Ln 2.h)</v>
      </c>
      <c r="D58" s="548"/>
      <c r="E58" s="520"/>
      <c r="F58" s="520"/>
      <c r="G58" s="520">
        <v>0</v>
      </c>
      <c r="H58" s="520"/>
      <c r="I58" s="520"/>
      <c r="J58" s="521"/>
    </row>
    <row r="59" spans="1:10">
      <c r="A59" s="503">
        <f>+A58+1</f>
        <v>24</v>
      </c>
      <c r="B59" s="546">
        <v>255</v>
      </c>
      <c r="C59" s="547" t="str">
        <f>"Acc Defrd ITC - Federal - 12/31/"&amp;'OKT TCOS'!N2-1&amp;" (FF1 p. 266, Ln 2.b)"</f>
        <v>Acc Defrd ITC - Federal - 12/31/2018 (FF1 p. 266, Ln 2.b)</v>
      </c>
      <c r="D59" s="548"/>
      <c r="E59" s="520"/>
      <c r="F59" s="520"/>
      <c r="G59" s="520">
        <f>D59</f>
        <v>0</v>
      </c>
      <c r="H59" s="520"/>
      <c r="I59" s="520"/>
      <c r="J59" s="503"/>
    </row>
    <row r="60" spans="1:10" ht="13">
      <c r="B60" s="522" t="s">
        <v>253</v>
      </c>
      <c r="D60" s="523"/>
      <c r="E60" s="523"/>
      <c r="F60" s="523"/>
      <c r="G60" s="523" t="s">
        <v>253</v>
      </c>
      <c r="H60" s="523"/>
      <c r="I60" s="523"/>
    </row>
    <row r="61" spans="1:10" ht="13">
      <c r="A61" s="503">
        <f>+A59+1</f>
        <v>25</v>
      </c>
      <c r="C61" s="513" t="s">
        <v>79</v>
      </c>
      <c r="D61" s="525">
        <f>D58+D59</f>
        <v>0</v>
      </c>
      <c r="E61" s="525"/>
      <c r="F61" s="525"/>
      <c r="G61" s="525">
        <f>G58+G59</f>
        <v>0</v>
      </c>
      <c r="H61" s="525"/>
      <c r="I61" s="525"/>
      <c r="J61" s="526"/>
    </row>
    <row r="62" spans="1:10" ht="13">
      <c r="A62" s="503">
        <f>+A61+1</f>
        <v>26</v>
      </c>
      <c r="C62" s="513" t="s">
        <v>351</v>
      </c>
      <c r="D62" s="527">
        <f>D61/2</f>
        <v>0</v>
      </c>
      <c r="E62" s="527"/>
      <c r="F62" s="527"/>
      <c r="G62" s="527">
        <f>G61/2</f>
        <v>0</v>
      </c>
      <c r="H62" s="528"/>
      <c r="I62" s="528"/>
      <c r="J62" s="526"/>
    </row>
    <row r="63" spans="1:10" ht="12.75" customHeight="1">
      <c r="A63" s="503">
        <f>+A62+1</f>
        <v>27</v>
      </c>
      <c r="B63" s="533"/>
      <c r="C63" s="534" t="s">
        <v>617</v>
      </c>
      <c r="D63" s="535"/>
      <c r="E63" s="549"/>
      <c r="F63" s="549"/>
      <c r="G63" s="536">
        <f>G51</f>
        <v>0.93070312372319608</v>
      </c>
      <c r="H63" s="549"/>
      <c r="I63" s="549"/>
    </row>
    <row r="64" spans="1:10" ht="13">
      <c r="A64" s="503">
        <f>+A63+1</f>
        <v>28</v>
      </c>
      <c r="C64" s="513" t="s">
        <v>80</v>
      </c>
      <c r="E64" s="549" t="s">
        <v>16</v>
      </c>
      <c r="F64" s="549" t="s">
        <v>16</v>
      </c>
      <c r="G64" s="526">
        <f>G63*G62</f>
        <v>0</v>
      </c>
      <c r="H64" s="549" t="s">
        <v>16</v>
      </c>
      <c r="I64" s="549" t="s">
        <v>16</v>
      </c>
      <c r="J64" s="537">
        <f>SUM(F64:I64)</f>
        <v>0</v>
      </c>
    </row>
    <row r="65" spans="2:10" ht="12.75" customHeight="1">
      <c r="C65" s="517"/>
      <c r="E65" s="544"/>
      <c r="F65" s="543"/>
      <c r="G65" s="544"/>
    </row>
    <row r="66" spans="2:10" ht="12.75" customHeight="1">
      <c r="C66" s="517"/>
      <c r="E66" s="544"/>
      <c r="F66" s="543"/>
      <c r="G66" s="544"/>
    </row>
    <row r="67" spans="2:10" ht="12.75" customHeight="1">
      <c r="B67" s="550" t="s">
        <v>83</v>
      </c>
      <c r="C67" s="497" t="s">
        <v>84</v>
      </c>
      <c r="D67" s="497"/>
      <c r="E67" s="497"/>
      <c r="F67" s="497"/>
      <c r="G67" s="497"/>
      <c r="H67" s="497"/>
      <c r="I67" s="497"/>
      <c r="J67" s="497"/>
    </row>
    <row r="68" spans="2:10" ht="12.75" customHeight="1">
      <c r="B68" s="550"/>
      <c r="C68" s="497"/>
      <c r="D68" s="497"/>
      <c r="E68" s="497"/>
      <c r="F68" s="497"/>
      <c r="G68" s="497"/>
      <c r="H68" s="497"/>
      <c r="I68" s="497"/>
      <c r="J68" s="497"/>
    </row>
    <row r="69" spans="2:10" ht="12.75" customHeight="1">
      <c r="B69" s="550"/>
      <c r="C69" s="497"/>
      <c r="D69" s="497"/>
      <c r="E69" s="497"/>
      <c r="F69" s="497"/>
      <c r="G69" s="497"/>
      <c r="H69" s="497"/>
      <c r="I69" s="497"/>
      <c r="J69" s="497"/>
    </row>
    <row r="70" spans="2:10" ht="12.75" customHeight="1">
      <c r="B70" s="550"/>
      <c r="C70" s="497"/>
      <c r="D70" s="497"/>
      <c r="E70" s="497"/>
      <c r="F70" s="497"/>
      <c r="G70" s="497"/>
      <c r="H70" s="497"/>
      <c r="I70" s="497"/>
      <c r="J70" s="497"/>
    </row>
    <row r="71" spans="2:10" ht="12.75" customHeight="1">
      <c r="B71" s="550"/>
      <c r="C71" s="497"/>
      <c r="D71" s="497"/>
      <c r="E71" s="497"/>
      <c r="F71" s="497"/>
      <c r="G71" s="497"/>
      <c r="H71" s="497"/>
      <c r="I71" s="497"/>
      <c r="J71" s="497"/>
    </row>
    <row r="72" spans="2:10">
      <c r="B72" s="550"/>
      <c r="C72" s="497"/>
      <c r="D72" s="497"/>
      <c r="E72" s="497"/>
      <c r="F72" s="497"/>
      <c r="G72" s="497"/>
      <c r="H72" s="497"/>
      <c r="I72" s="497"/>
      <c r="J72" s="497"/>
    </row>
    <row r="73" spans="2:10">
      <c r="B73" s="550"/>
      <c r="C73" s="497"/>
      <c r="D73" s="497"/>
      <c r="E73" s="497"/>
      <c r="F73" s="497"/>
      <c r="G73" s="497"/>
      <c r="H73" s="497"/>
      <c r="I73" s="497"/>
      <c r="J73" s="497"/>
    </row>
    <row r="74" spans="2:10">
      <c r="B74" s="550"/>
      <c r="C74" s="497"/>
      <c r="D74" s="497"/>
      <c r="E74" s="497"/>
      <c r="F74" s="497"/>
      <c r="G74" s="497"/>
      <c r="H74" s="497"/>
      <c r="I74" s="497"/>
      <c r="J74" s="497"/>
    </row>
    <row r="75" spans="2:10">
      <c r="B75" s="550"/>
      <c r="C75" s="497"/>
      <c r="D75" s="497"/>
      <c r="E75" s="497"/>
      <c r="F75" s="497"/>
      <c r="G75" s="497"/>
      <c r="H75" s="497"/>
      <c r="I75" s="497"/>
      <c r="J75" s="497"/>
    </row>
    <row r="76" spans="2:10">
      <c r="B76" s="550"/>
      <c r="C76" s="497"/>
      <c r="D76" s="497"/>
      <c r="E76" s="497"/>
      <c r="F76" s="497"/>
      <c r="G76" s="497"/>
      <c r="H76" s="497"/>
      <c r="I76" s="497"/>
      <c r="J76" s="497" t="s">
        <v>253</v>
      </c>
    </row>
    <row r="77" spans="2:10">
      <c r="B77" s="550"/>
      <c r="C77" s="497"/>
      <c r="D77" s="497"/>
      <c r="E77" s="497"/>
      <c r="F77" s="497"/>
      <c r="G77" s="497"/>
      <c r="H77" s="497"/>
      <c r="I77" s="497"/>
      <c r="J77" s="497"/>
    </row>
    <row r="78" spans="2:10">
      <c r="B78" s="550"/>
      <c r="C78" s="497"/>
      <c r="D78" s="497"/>
      <c r="E78" s="497"/>
      <c r="F78" s="497"/>
      <c r="G78" s="497"/>
      <c r="H78" s="497"/>
      <c r="I78" s="497"/>
      <c r="J78" s="497"/>
    </row>
    <row r="79" spans="2:10">
      <c r="B79" s="550"/>
      <c r="C79" s="497"/>
      <c r="D79" s="497"/>
      <c r="E79" s="497"/>
      <c r="F79" s="497"/>
      <c r="G79" s="497"/>
      <c r="H79" s="497"/>
      <c r="I79" s="497"/>
      <c r="J79" s="497"/>
    </row>
    <row r="80" spans="2:10">
      <c r="B80" s="550"/>
      <c r="C80" s="497"/>
      <c r="D80" s="497"/>
      <c r="E80" s="497"/>
      <c r="F80" s="497"/>
      <c r="G80" s="497"/>
      <c r="H80" s="497"/>
      <c r="I80" s="497"/>
      <c r="J80" s="497"/>
    </row>
    <row r="81" spans="2:11">
      <c r="B81" s="550"/>
      <c r="C81" s="497"/>
      <c r="D81" s="497"/>
      <c r="E81" s="497"/>
      <c r="F81" s="497"/>
      <c r="G81" s="497"/>
      <c r="H81" s="497"/>
      <c r="I81" s="497"/>
      <c r="J81" s="497"/>
    </row>
    <row r="82" spans="2:11">
      <c r="B82" s="550"/>
      <c r="C82" s="497"/>
      <c r="D82" s="497"/>
      <c r="E82" s="497"/>
      <c r="F82" s="497"/>
      <c r="G82" s="497"/>
      <c r="H82" s="497"/>
      <c r="I82" s="497"/>
      <c r="J82" s="497"/>
    </row>
    <row r="83" spans="2:11">
      <c r="B83" s="550"/>
      <c r="C83" s="497"/>
      <c r="D83" s="497"/>
      <c r="E83" s="497"/>
      <c r="F83" s="497"/>
      <c r="G83" s="497"/>
      <c r="H83" s="497"/>
      <c r="I83" s="497"/>
      <c r="J83" s="497"/>
    </row>
    <row r="84" spans="2:11">
      <c r="B84" s="550"/>
      <c r="C84" s="497"/>
      <c r="D84" s="497"/>
      <c r="E84" s="497"/>
      <c r="F84" s="497"/>
      <c r="G84" s="497"/>
      <c r="H84" s="497"/>
      <c r="I84" s="497"/>
      <c r="J84" s="497"/>
      <c r="K84" s="497"/>
    </row>
    <row r="85" spans="2:11">
      <c r="B85" s="550"/>
      <c r="C85" s="497"/>
      <c r="D85" s="497"/>
      <c r="E85" s="497"/>
      <c r="F85" s="497"/>
      <c r="G85" s="497"/>
      <c r="H85" s="497"/>
      <c r="I85" s="497"/>
      <c r="J85" s="497"/>
      <c r="K85" s="497"/>
    </row>
    <row r="86" spans="2:11">
      <c r="B86" s="550"/>
      <c r="C86" s="497"/>
      <c r="D86" s="497"/>
      <c r="E86" s="497"/>
      <c r="F86" s="497"/>
      <c r="G86" s="497"/>
      <c r="H86" s="497"/>
      <c r="I86" s="497"/>
      <c r="J86" s="497"/>
      <c r="K86" s="497"/>
    </row>
    <row r="87" spans="2:11">
      <c r="B87" s="550"/>
      <c r="C87" s="497"/>
      <c r="D87" s="497"/>
      <c r="E87" s="497"/>
      <c r="F87" s="497"/>
      <c r="G87" s="497"/>
      <c r="H87" s="497"/>
      <c r="I87" s="497"/>
      <c r="J87" s="497"/>
      <c r="K87" s="497"/>
    </row>
    <row r="88" spans="2:11">
      <c r="B88" s="550"/>
      <c r="C88" s="497"/>
      <c r="D88" s="497"/>
      <c r="E88" s="497"/>
      <c r="F88" s="497"/>
      <c r="G88" s="497"/>
      <c r="H88" s="497"/>
      <c r="I88" s="497"/>
      <c r="J88" s="497"/>
      <c r="K88" s="497"/>
    </row>
    <row r="89" spans="2:11">
      <c r="B89" s="550"/>
      <c r="C89" s="497"/>
      <c r="D89" s="497"/>
      <c r="E89" s="497"/>
      <c r="F89" s="497"/>
      <c r="G89" s="497"/>
      <c r="H89" s="497"/>
      <c r="I89" s="497"/>
      <c r="J89" s="497"/>
      <c r="K89" s="497"/>
    </row>
    <row r="90" spans="2:11">
      <c r="B90" s="550"/>
      <c r="C90" s="497"/>
      <c r="D90" s="497"/>
      <c r="E90" s="497"/>
      <c r="F90" s="497"/>
      <c r="G90" s="497"/>
      <c r="H90" s="497"/>
      <c r="I90" s="497"/>
      <c r="J90" s="497"/>
      <c r="K90" s="497"/>
    </row>
    <row r="91" spans="2:11">
      <c r="B91" s="550"/>
      <c r="C91" s="497"/>
      <c r="D91" s="497"/>
      <c r="E91" s="497"/>
      <c r="F91" s="497"/>
      <c r="G91" s="497"/>
      <c r="H91" s="497"/>
      <c r="I91" s="497"/>
      <c r="J91" s="497"/>
      <c r="K91" s="497"/>
    </row>
    <row r="92" spans="2:11">
      <c r="B92" s="550"/>
      <c r="C92" s="497"/>
      <c r="D92" s="497"/>
      <c r="E92" s="497"/>
      <c r="F92" s="497"/>
      <c r="G92" s="497"/>
      <c r="H92" s="497"/>
      <c r="I92" s="497"/>
      <c r="J92" s="497"/>
      <c r="K92" s="497"/>
    </row>
    <row r="93" spans="2:11">
      <c r="B93" s="550"/>
      <c r="C93" s="497"/>
      <c r="D93" s="497"/>
      <c r="E93" s="497"/>
      <c r="F93" s="497"/>
      <c r="G93" s="497"/>
      <c r="H93" s="497"/>
      <c r="I93" s="497"/>
      <c r="J93" s="497"/>
      <c r="K93" s="497"/>
    </row>
    <row r="94" spans="2:11">
      <c r="B94" s="550"/>
      <c r="C94" s="497"/>
      <c r="D94" s="497"/>
      <c r="E94" s="497"/>
      <c r="F94" s="497"/>
      <c r="G94" s="497"/>
      <c r="H94" s="497"/>
      <c r="I94" s="497"/>
      <c r="J94" s="497"/>
      <c r="K94" s="497"/>
    </row>
    <row r="95" spans="2:11">
      <c r="B95" s="550"/>
      <c r="C95" s="497"/>
      <c r="D95" s="497"/>
      <c r="E95" s="497"/>
      <c r="F95" s="497"/>
      <c r="G95" s="497"/>
      <c r="H95" s="497"/>
      <c r="I95" s="497"/>
      <c r="J95" s="497"/>
      <c r="K95" s="497"/>
    </row>
    <row r="96" spans="2:11">
      <c r="B96" s="550"/>
      <c r="C96" s="497"/>
      <c r="D96" s="497"/>
      <c r="E96" s="497"/>
      <c r="F96" s="497"/>
      <c r="G96" s="497"/>
      <c r="H96" s="497"/>
      <c r="I96" s="497"/>
      <c r="J96" s="497"/>
      <c r="K96" s="497"/>
    </row>
    <row r="97" spans="2:11">
      <c r="B97" s="550"/>
      <c r="C97" s="497"/>
      <c r="D97" s="497"/>
      <c r="E97" s="497"/>
      <c r="F97" s="497"/>
      <c r="G97" s="497"/>
      <c r="H97" s="497"/>
      <c r="I97" s="497"/>
      <c r="J97" s="497"/>
      <c r="K97" s="497"/>
    </row>
    <row r="98" spans="2:11">
      <c r="B98" s="550"/>
      <c r="C98" s="497"/>
      <c r="D98" s="497"/>
      <c r="E98" s="497"/>
      <c r="F98" s="497"/>
      <c r="G98" s="497"/>
      <c r="H98" s="497"/>
      <c r="I98" s="497"/>
      <c r="J98" s="497"/>
      <c r="K98" s="497"/>
    </row>
    <row r="99" spans="2:11">
      <c r="B99" s="550"/>
      <c r="C99" s="497"/>
      <c r="D99" s="497"/>
      <c r="E99" s="497"/>
      <c r="F99" s="497"/>
      <c r="G99" s="497"/>
      <c r="H99" s="497"/>
      <c r="I99" s="497"/>
      <c r="J99" s="497"/>
      <c r="K99" s="497"/>
    </row>
    <row r="100" spans="2:11">
      <c r="B100" s="550"/>
      <c r="C100" s="497"/>
      <c r="D100" s="497"/>
      <c r="E100" s="497"/>
      <c r="F100" s="497"/>
      <c r="G100" s="497"/>
      <c r="H100" s="497"/>
      <c r="I100" s="497"/>
      <c r="J100" s="497"/>
      <c r="K100" s="497"/>
    </row>
    <row r="101" spans="2:11">
      <c r="B101" s="550"/>
      <c r="C101" s="497"/>
      <c r="D101" s="497"/>
      <c r="E101" s="497"/>
      <c r="F101" s="497"/>
      <c r="G101" s="497"/>
      <c r="H101" s="497"/>
      <c r="I101" s="497"/>
      <c r="J101" s="497"/>
      <c r="K101" s="497"/>
    </row>
    <row r="102" spans="2:11">
      <c r="B102" s="550"/>
      <c r="C102" s="497"/>
      <c r="D102" s="497"/>
      <c r="E102" s="497"/>
      <c r="F102" s="497"/>
      <c r="G102" s="497"/>
      <c r="H102" s="497"/>
      <c r="I102" s="497"/>
      <c r="J102" s="497"/>
      <c r="K102" s="497"/>
    </row>
    <row r="103" spans="2:11">
      <c r="B103" s="550"/>
      <c r="C103" s="497"/>
      <c r="D103" s="497"/>
      <c r="E103" s="497"/>
      <c r="F103" s="497"/>
      <c r="G103" s="497"/>
      <c r="H103" s="497"/>
      <c r="I103" s="497"/>
      <c r="J103" s="497"/>
      <c r="K103" s="497"/>
    </row>
    <row r="104" spans="2:11">
      <c r="B104" s="550"/>
      <c r="C104" s="497"/>
      <c r="D104" s="497"/>
      <c r="E104" s="497"/>
      <c r="F104" s="497"/>
      <c r="G104" s="497"/>
      <c r="H104" s="497"/>
      <c r="I104" s="497"/>
      <c r="J104" s="497"/>
      <c r="K104" s="497"/>
    </row>
    <row r="105" spans="2:11">
      <c r="B105" s="550"/>
      <c r="C105" s="497"/>
      <c r="D105" s="497"/>
      <c r="E105" s="497"/>
      <c r="F105" s="497"/>
      <c r="G105" s="497"/>
      <c r="H105" s="497"/>
      <c r="I105" s="497"/>
      <c r="J105" s="497"/>
      <c r="K105" s="497"/>
    </row>
    <row r="106" spans="2:11">
      <c r="B106" s="550"/>
      <c r="C106" s="497"/>
      <c r="D106" s="497"/>
      <c r="E106" s="497"/>
      <c r="F106" s="497"/>
      <c r="G106" s="497"/>
      <c r="H106" s="497"/>
      <c r="I106" s="497"/>
      <c r="J106" s="497"/>
      <c r="K106" s="497"/>
    </row>
    <row r="107" spans="2:11">
      <c r="B107" s="550"/>
      <c r="C107" s="497"/>
      <c r="D107" s="497"/>
      <c r="E107" s="497"/>
      <c r="F107" s="497"/>
      <c r="G107" s="497"/>
      <c r="H107" s="497"/>
      <c r="I107" s="497"/>
      <c r="J107" s="497"/>
      <c r="K107" s="497"/>
    </row>
    <row r="108" spans="2:11">
      <c r="B108" s="550"/>
      <c r="C108" s="497"/>
      <c r="D108" s="497"/>
      <c r="E108" s="497"/>
      <c r="F108" s="497"/>
      <c r="G108" s="497"/>
      <c r="H108" s="497"/>
      <c r="I108" s="497"/>
      <c r="J108" s="497"/>
      <c r="K108" s="497"/>
    </row>
    <row r="109" spans="2:11">
      <c r="B109" s="550"/>
      <c r="C109" s="497"/>
      <c r="D109" s="497"/>
      <c r="E109" s="497"/>
      <c r="F109" s="497"/>
      <c r="G109" s="497"/>
      <c r="H109" s="497"/>
      <c r="I109" s="497"/>
      <c r="J109" s="497"/>
      <c r="K109" s="497"/>
    </row>
    <row r="110" spans="2:11">
      <c r="B110" s="550"/>
      <c r="C110" s="497"/>
      <c r="D110" s="497"/>
      <c r="E110" s="497"/>
      <c r="F110" s="497"/>
      <c r="G110" s="497"/>
      <c r="H110" s="497"/>
      <c r="I110" s="497"/>
      <c r="J110" s="497"/>
      <c r="K110" s="497"/>
    </row>
    <row r="111" spans="2:11">
      <c r="B111" s="550"/>
      <c r="C111" s="497"/>
      <c r="D111" s="497"/>
      <c r="E111" s="497"/>
      <c r="F111" s="497"/>
      <c r="G111" s="497"/>
      <c r="H111" s="497"/>
      <c r="I111" s="497"/>
      <c r="J111" s="497"/>
      <c r="K111" s="497"/>
    </row>
    <row r="112" spans="2:11">
      <c r="B112" s="550"/>
      <c r="C112" s="497"/>
      <c r="D112" s="497"/>
      <c r="E112" s="497"/>
      <c r="F112" s="497"/>
      <c r="G112" s="497"/>
      <c r="H112" s="497"/>
      <c r="I112" s="497"/>
      <c r="J112" s="497"/>
      <c r="K112" s="497"/>
    </row>
    <row r="113" spans="2:11">
      <c r="B113" s="550"/>
      <c r="C113" s="497"/>
      <c r="D113" s="497"/>
      <c r="E113" s="497"/>
      <c r="F113" s="497"/>
      <c r="G113" s="497"/>
      <c r="H113" s="497"/>
      <c r="I113" s="497"/>
      <c r="J113" s="497"/>
      <c r="K113" s="497"/>
    </row>
    <row r="114" spans="2:11">
      <c r="B114" s="550"/>
      <c r="C114" s="497"/>
      <c r="D114" s="497"/>
      <c r="E114" s="497"/>
      <c r="F114" s="497"/>
      <c r="G114" s="497"/>
      <c r="H114" s="497"/>
      <c r="I114" s="497"/>
      <c r="J114" s="497"/>
      <c r="K114" s="497"/>
    </row>
    <row r="115" spans="2:11">
      <c r="B115" s="550"/>
      <c r="C115" s="497"/>
      <c r="D115" s="497"/>
      <c r="E115" s="497"/>
      <c r="F115" s="497"/>
      <c r="G115" s="497"/>
      <c r="H115" s="497"/>
      <c r="I115" s="497"/>
      <c r="J115" s="497"/>
      <c r="K115" s="497"/>
    </row>
    <row r="116" spans="2:11">
      <c r="B116" s="550"/>
      <c r="C116" s="497"/>
      <c r="D116" s="497"/>
      <c r="E116" s="497"/>
      <c r="F116" s="497"/>
      <c r="G116" s="497"/>
      <c r="H116" s="497"/>
      <c r="I116" s="497"/>
      <c r="J116" s="497"/>
      <c r="K116" s="497"/>
    </row>
    <row r="117" spans="2:11">
      <c r="B117" s="550"/>
      <c r="C117" s="497"/>
      <c r="D117" s="497"/>
      <c r="E117" s="497"/>
      <c r="F117" s="497"/>
      <c r="G117" s="497"/>
      <c r="H117" s="497"/>
      <c r="I117" s="497"/>
      <c r="J117" s="497"/>
      <c r="K117" s="497"/>
    </row>
    <row r="118" spans="2:11">
      <c r="B118" s="550"/>
      <c r="C118" s="497"/>
      <c r="D118" s="497"/>
      <c r="E118" s="497"/>
      <c r="F118" s="497"/>
      <c r="G118" s="497"/>
      <c r="H118" s="497"/>
      <c r="I118" s="497"/>
      <c r="J118" s="497"/>
      <c r="K118" s="497"/>
    </row>
    <row r="119" spans="2:11">
      <c r="B119" s="550"/>
      <c r="C119" s="497"/>
      <c r="D119" s="497"/>
      <c r="E119" s="497"/>
      <c r="F119" s="497"/>
      <c r="G119" s="497"/>
      <c r="H119" s="497"/>
      <c r="I119" s="497"/>
      <c r="J119" s="497"/>
      <c r="K119" s="497"/>
    </row>
    <row r="120" spans="2:11">
      <c r="B120" s="550"/>
      <c r="C120" s="497"/>
      <c r="D120" s="497"/>
      <c r="E120" s="497"/>
      <c r="F120" s="497"/>
      <c r="G120" s="497"/>
      <c r="H120" s="497"/>
      <c r="I120" s="497"/>
      <c r="J120" s="497"/>
      <c r="K120" s="497"/>
    </row>
    <row r="121" spans="2:11">
      <c r="B121" s="550"/>
      <c r="C121" s="497"/>
      <c r="D121" s="497"/>
      <c r="E121" s="497"/>
      <c r="F121" s="497"/>
      <c r="G121" s="497"/>
      <c r="H121" s="497"/>
      <c r="I121" s="497"/>
      <c r="J121" s="497"/>
      <c r="K121" s="497"/>
    </row>
    <row r="122" spans="2:11">
      <c r="B122" s="550"/>
      <c r="C122" s="497"/>
      <c r="D122" s="497"/>
      <c r="E122" s="497"/>
      <c r="F122" s="497"/>
      <c r="G122" s="497"/>
      <c r="H122" s="497"/>
      <c r="I122" s="497"/>
      <c r="J122" s="497"/>
      <c r="K122" s="497"/>
    </row>
    <row r="123" spans="2:11">
      <c r="B123" s="550"/>
      <c r="C123" s="497"/>
      <c r="D123" s="497"/>
      <c r="E123" s="497"/>
      <c r="F123" s="497"/>
      <c r="G123" s="497"/>
      <c r="H123" s="497"/>
      <c r="I123" s="497"/>
      <c r="J123" s="497"/>
      <c r="K123" s="497"/>
    </row>
    <row r="124" spans="2:11">
      <c r="B124" s="550"/>
      <c r="C124" s="497"/>
      <c r="D124" s="497"/>
      <c r="E124" s="497"/>
      <c r="F124" s="497"/>
      <c r="G124" s="497"/>
      <c r="H124" s="497"/>
      <c r="I124" s="497"/>
      <c r="J124" s="497"/>
      <c r="K124" s="497"/>
    </row>
    <row r="125" spans="2:11">
      <c r="B125" s="550"/>
      <c r="C125" s="497"/>
      <c r="D125" s="497"/>
      <c r="E125" s="497"/>
      <c r="F125" s="497"/>
      <c r="G125" s="497"/>
      <c r="H125" s="497"/>
      <c r="I125" s="497"/>
      <c r="J125" s="497"/>
      <c r="K125" s="497"/>
    </row>
    <row r="126" spans="2:11">
      <c r="B126" s="550"/>
      <c r="C126" s="497"/>
      <c r="D126" s="497"/>
      <c r="E126" s="497"/>
      <c r="F126" s="497"/>
      <c r="G126" s="497"/>
      <c r="H126" s="497"/>
      <c r="I126" s="497"/>
      <c r="J126" s="497"/>
      <c r="K126" s="497"/>
    </row>
    <row r="127" spans="2:11">
      <c r="B127" s="550"/>
      <c r="C127" s="497"/>
      <c r="D127" s="497"/>
      <c r="E127" s="497"/>
      <c r="F127" s="497"/>
      <c r="G127" s="497"/>
      <c r="H127" s="497"/>
      <c r="I127" s="497"/>
      <c r="J127" s="497"/>
      <c r="K127" s="497"/>
    </row>
    <row r="128" spans="2:11">
      <c r="B128" s="550"/>
      <c r="C128" s="497"/>
      <c r="D128" s="497"/>
      <c r="E128" s="497"/>
      <c r="F128" s="497"/>
      <c r="G128" s="497"/>
      <c r="H128" s="497"/>
      <c r="I128" s="497"/>
      <c r="J128" s="497"/>
      <c r="K128" s="497"/>
    </row>
    <row r="129" spans="2:11">
      <c r="B129" s="550"/>
      <c r="C129" s="497"/>
      <c r="D129" s="497"/>
      <c r="E129" s="497"/>
      <c r="F129" s="497"/>
      <c r="G129" s="497"/>
      <c r="H129" s="497"/>
      <c r="I129" s="497"/>
      <c r="J129" s="497"/>
      <c r="K129" s="497"/>
    </row>
    <row r="130" spans="2:11">
      <c r="B130" s="550"/>
      <c r="C130" s="497"/>
      <c r="D130" s="497"/>
      <c r="E130" s="497"/>
      <c r="F130" s="497"/>
      <c r="G130" s="497"/>
      <c r="H130" s="497"/>
      <c r="I130" s="497"/>
      <c r="J130" s="497"/>
      <c r="K130" s="497"/>
    </row>
    <row r="131" spans="2:11">
      <c r="B131" s="550"/>
      <c r="C131" s="497"/>
      <c r="D131" s="497"/>
      <c r="E131" s="497"/>
      <c r="F131" s="497"/>
      <c r="G131" s="497"/>
      <c r="H131" s="497"/>
      <c r="I131" s="497"/>
      <c r="J131" s="497"/>
      <c r="K131" s="497"/>
    </row>
    <row r="132" spans="2:11">
      <c r="B132" s="550"/>
      <c r="C132" s="497"/>
      <c r="D132" s="497"/>
      <c r="E132" s="497"/>
      <c r="F132" s="497"/>
      <c r="G132" s="497"/>
      <c r="H132" s="497"/>
      <c r="I132" s="497"/>
      <c r="J132" s="497"/>
      <c r="K132" s="497"/>
    </row>
    <row r="133" spans="2:11">
      <c r="B133" s="550"/>
      <c r="C133" s="497"/>
      <c r="D133" s="497"/>
      <c r="E133" s="497"/>
      <c r="F133" s="497"/>
      <c r="G133" s="497"/>
      <c r="H133" s="497"/>
      <c r="I133" s="497"/>
      <c r="J133" s="497"/>
      <c r="K133" s="497"/>
    </row>
    <row r="134" spans="2:11">
      <c r="B134" s="550"/>
      <c r="C134" s="497"/>
      <c r="D134" s="497"/>
      <c r="E134" s="497"/>
      <c r="F134" s="497"/>
      <c r="G134" s="497"/>
      <c r="H134" s="497"/>
      <c r="I134" s="497"/>
      <c r="J134" s="497"/>
      <c r="K134" s="497"/>
    </row>
    <row r="135" spans="2:11">
      <c r="B135" s="550"/>
      <c r="C135" s="497"/>
      <c r="D135" s="497"/>
      <c r="E135" s="497"/>
      <c r="F135" s="497"/>
      <c r="G135" s="497"/>
      <c r="H135" s="497"/>
      <c r="I135" s="497"/>
      <c r="J135" s="497"/>
      <c r="K135" s="497"/>
    </row>
    <row r="136" spans="2:11">
      <c r="B136" s="550"/>
      <c r="C136" s="497"/>
      <c r="D136" s="497"/>
      <c r="E136" s="497"/>
      <c r="F136" s="497"/>
      <c r="G136" s="497"/>
      <c r="H136" s="497"/>
      <c r="I136" s="497"/>
      <c r="J136" s="497"/>
      <c r="K136" s="497"/>
    </row>
    <row r="137" spans="2:11">
      <c r="B137" s="550"/>
      <c r="C137" s="497"/>
      <c r="D137" s="497"/>
      <c r="E137" s="497"/>
      <c r="F137" s="497"/>
      <c r="G137" s="497"/>
      <c r="H137" s="497"/>
      <c r="I137" s="497"/>
      <c r="J137" s="497"/>
      <c r="K137" s="497"/>
    </row>
    <row r="138" spans="2:11">
      <c r="B138" s="550"/>
      <c r="C138" s="497"/>
      <c r="D138" s="497"/>
      <c r="E138" s="497"/>
      <c r="F138" s="497"/>
      <c r="G138" s="497"/>
      <c r="H138" s="497"/>
      <c r="I138" s="497"/>
      <c r="J138" s="497"/>
      <c r="K138" s="497"/>
    </row>
    <row r="139" spans="2:11">
      <c r="B139" s="550"/>
      <c r="C139" s="497"/>
      <c r="D139" s="497"/>
      <c r="E139" s="497"/>
      <c r="F139" s="497"/>
      <c r="G139" s="497"/>
      <c r="H139" s="497"/>
      <c r="I139" s="497"/>
      <c r="J139" s="497"/>
      <c r="K139" s="497"/>
    </row>
    <row r="140" spans="2:11">
      <c r="B140" s="550"/>
      <c r="C140" s="497"/>
      <c r="D140" s="497"/>
      <c r="E140" s="497"/>
      <c r="F140" s="497"/>
      <c r="G140" s="497"/>
      <c r="H140" s="497"/>
      <c r="I140" s="497"/>
      <c r="J140" s="497"/>
      <c r="K140" s="497"/>
    </row>
    <row r="141" spans="2:11">
      <c r="B141" s="550"/>
      <c r="C141" s="497"/>
      <c r="D141" s="497"/>
      <c r="E141" s="497"/>
      <c r="F141" s="497"/>
      <c r="G141" s="497"/>
      <c r="H141" s="497"/>
      <c r="I141" s="497"/>
      <c r="J141" s="497"/>
      <c r="K141" s="497"/>
    </row>
    <row r="142" spans="2:11">
      <c r="B142" s="550"/>
      <c r="C142" s="497"/>
      <c r="D142" s="497"/>
      <c r="E142" s="497"/>
      <c r="F142" s="497"/>
      <c r="G142" s="497"/>
      <c r="H142" s="497"/>
      <c r="I142" s="497"/>
      <c r="J142" s="497"/>
      <c r="K142" s="497"/>
    </row>
    <row r="143" spans="2:11">
      <c r="B143" s="550"/>
      <c r="C143" s="497"/>
      <c r="D143" s="497"/>
      <c r="E143" s="497"/>
      <c r="F143" s="497"/>
      <c r="G143" s="497"/>
      <c r="H143" s="497"/>
      <c r="I143" s="497"/>
      <c r="J143" s="497"/>
      <c r="K143" s="497"/>
    </row>
    <row r="144" spans="2:11">
      <c r="B144" s="550"/>
      <c r="C144" s="497"/>
      <c r="D144" s="497"/>
      <c r="E144" s="497"/>
      <c r="F144" s="497"/>
      <c r="G144" s="497"/>
      <c r="H144" s="497"/>
      <c r="I144" s="497"/>
      <c r="J144" s="497"/>
      <c r="K144" s="497"/>
    </row>
    <row r="145" spans="2:11">
      <c r="B145" s="550"/>
      <c r="C145" s="497"/>
      <c r="D145" s="497"/>
      <c r="E145" s="497"/>
      <c r="F145" s="497"/>
      <c r="G145" s="497"/>
      <c r="H145" s="497"/>
      <c r="I145" s="497"/>
      <c r="J145" s="497"/>
      <c r="K145" s="497"/>
    </row>
    <row r="146" spans="2:11">
      <c r="B146" s="550"/>
      <c r="C146" s="497"/>
      <c r="D146" s="497"/>
      <c r="E146" s="497"/>
      <c r="F146" s="497"/>
      <c r="G146" s="497"/>
      <c r="H146" s="497"/>
      <c r="I146" s="497"/>
      <c r="J146" s="497"/>
      <c r="K146" s="497"/>
    </row>
    <row r="147" spans="2:11">
      <c r="B147" s="550"/>
      <c r="C147" s="497"/>
      <c r="D147" s="497"/>
      <c r="E147" s="497"/>
      <c r="F147" s="497"/>
      <c r="G147" s="497"/>
      <c r="H147" s="497"/>
      <c r="I147" s="497"/>
      <c r="J147" s="497"/>
      <c r="K147" s="497"/>
    </row>
    <row r="148" spans="2:11">
      <c r="B148" s="550"/>
      <c r="C148" s="497"/>
      <c r="D148" s="497"/>
      <c r="E148" s="497"/>
      <c r="F148" s="497"/>
      <c r="G148" s="497"/>
      <c r="H148" s="497"/>
      <c r="I148" s="497"/>
      <c r="J148" s="497"/>
      <c r="K148" s="497"/>
    </row>
    <row r="149" spans="2:11">
      <c r="B149" s="550"/>
      <c r="C149" s="497"/>
      <c r="D149" s="497"/>
      <c r="E149" s="497"/>
      <c r="F149" s="497"/>
      <c r="G149" s="497"/>
      <c r="H149" s="497"/>
      <c r="I149" s="497"/>
      <c r="J149" s="497"/>
      <c r="K149" s="497"/>
    </row>
    <row r="150" spans="2:11">
      <c r="B150" s="550"/>
      <c r="C150" s="497"/>
      <c r="D150" s="497"/>
      <c r="E150" s="497"/>
      <c r="F150" s="497"/>
      <c r="G150" s="497"/>
      <c r="H150" s="497"/>
      <c r="I150" s="497"/>
      <c r="J150" s="497"/>
      <c r="K150" s="497"/>
    </row>
    <row r="151" spans="2:11">
      <c r="B151" s="550"/>
      <c r="C151" s="497"/>
      <c r="D151" s="497"/>
      <c r="E151" s="497"/>
      <c r="F151" s="497"/>
      <c r="G151" s="497"/>
      <c r="H151" s="497"/>
      <c r="I151" s="497"/>
      <c r="J151" s="497"/>
      <c r="K151" s="497"/>
    </row>
    <row r="152" spans="2:11">
      <c r="B152" s="550"/>
      <c r="C152" s="497"/>
      <c r="D152" s="497"/>
      <c r="E152" s="497"/>
      <c r="F152" s="497"/>
      <c r="G152" s="497"/>
      <c r="H152" s="497"/>
      <c r="I152" s="497"/>
      <c r="J152" s="497"/>
      <c r="K152" s="497"/>
    </row>
    <row r="153" spans="2:11">
      <c r="B153" s="550"/>
      <c r="C153" s="497"/>
      <c r="D153" s="497"/>
      <c r="E153" s="497"/>
      <c r="F153" s="497"/>
      <c r="G153" s="497"/>
      <c r="H153" s="497"/>
      <c r="I153" s="497"/>
      <c r="J153" s="497"/>
      <c r="K153" s="497"/>
    </row>
    <row r="154" spans="2:11">
      <c r="B154" s="550"/>
      <c r="C154" s="497"/>
      <c r="D154" s="497"/>
      <c r="E154" s="497"/>
      <c r="F154" s="497"/>
      <c r="G154" s="497"/>
      <c r="H154" s="497"/>
      <c r="I154" s="497"/>
      <c r="J154" s="497"/>
      <c r="K154" s="497"/>
    </row>
    <row r="155" spans="2:11">
      <c r="B155" s="550"/>
      <c r="C155" s="497"/>
      <c r="D155" s="497"/>
      <c r="E155" s="497"/>
      <c r="F155" s="497"/>
      <c r="G155" s="497"/>
      <c r="H155" s="497"/>
      <c r="I155" s="497"/>
      <c r="J155" s="497"/>
      <c r="K155" s="497"/>
    </row>
    <row r="156" spans="2:11">
      <c r="B156" s="550"/>
      <c r="C156" s="497"/>
      <c r="D156" s="497"/>
      <c r="E156" s="497"/>
      <c r="F156" s="497"/>
      <c r="G156" s="497"/>
      <c r="H156" s="497"/>
      <c r="I156" s="497"/>
      <c r="J156" s="497"/>
      <c r="K156" s="497"/>
    </row>
    <row r="157" spans="2:11">
      <c r="B157" s="550"/>
      <c r="C157" s="497"/>
      <c r="D157" s="497"/>
      <c r="E157" s="497"/>
      <c r="F157" s="497"/>
      <c r="G157" s="497"/>
      <c r="H157" s="497"/>
      <c r="I157" s="497"/>
      <c r="J157" s="497"/>
      <c r="K157" s="497"/>
    </row>
    <row r="158" spans="2:11">
      <c r="B158" s="550"/>
      <c r="C158" s="497"/>
      <c r="D158" s="497"/>
      <c r="E158" s="497"/>
      <c r="F158" s="497"/>
      <c r="G158" s="497"/>
      <c r="H158" s="497"/>
      <c r="I158" s="497"/>
      <c r="J158" s="497"/>
      <c r="K158" s="497"/>
    </row>
    <row r="159" spans="2:11">
      <c r="B159" s="550"/>
      <c r="C159" s="497"/>
      <c r="D159" s="497"/>
      <c r="E159" s="497"/>
      <c r="F159" s="497"/>
      <c r="G159" s="497"/>
      <c r="H159" s="497"/>
      <c r="I159" s="497"/>
      <c r="J159" s="497"/>
      <c r="K159" s="497"/>
    </row>
    <row r="160" spans="2:11">
      <c r="B160" s="550"/>
      <c r="C160" s="497"/>
      <c r="D160" s="497"/>
      <c r="E160" s="497"/>
      <c r="F160" s="497"/>
      <c r="G160" s="497"/>
      <c r="H160" s="497"/>
      <c r="I160" s="497"/>
      <c r="J160" s="497"/>
      <c r="K160" s="497"/>
    </row>
    <row r="161" spans="2:11">
      <c r="B161" s="550"/>
      <c r="C161" s="497"/>
      <c r="D161" s="497"/>
      <c r="E161" s="497"/>
      <c r="F161" s="497"/>
      <c r="G161" s="497"/>
      <c r="H161" s="497"/>
      <c r="I161" s="497"/>
      <c r="J161" s="497"/>
      <c r="K161" s="497"/>
    </row>
    <row r="162" spans="2:11">
      <c r="B162" s="550"/>
      <c r="C162" s="497"/>
      <c r="D162" s="497"/>
      <c r="E162" s="497"/>
      <c r="F162" s="497"/>
      <c r="G162" s="497"/>
      <c r="H162" s="497"/>
      <c r="I162" s="497"/>
      <c r="J162" s="497"/>
      <c r="K162" s="497"/>
    </row>
    <row r="163" spans="2:11">
      <c r="B163" s="550"/>
      <c r="C163" s="497"/>
      <c r="D163" s="497"/>
      <c r="E163" s="497"/>
      <c r="F163" s="497"/>
      <c r="G163" s="497"/>
      <c r="H163" s="497"/>
      <c r="I163" s="497"/>
      <c r="J163" s="497"/>
      <c r="K163" s="497"/>
    </row>
    <row r="164" spans="2:11">
      <c r="B164" s="550"/>
      <c r="C164" s="497"/>
      <c r="D164" s="497"/>
      <c r="E164" s="497"/>
      <c r="F164" s="497"/>
      <c r="G164" s="497"/>
      <c r="H164" s="497"/>
      <c r="I164" s="497"/>
      <c r="J164" s="497"/>
      <c r="K164" s="497"/>
    </row>
    <row r="165" spans="2:11">
      <c r="B165" s="550"/>
      <c r="C165" s="497"/>
      <c r="D165" s="497"/>
      <c r="E165" s="497"/>
      <c r="F165" s="497"/>
      <c r="G165" s="497"/>
      <c r="H165" s="497"/>
      <c r="I165" s="497"/>
      <c r="J165" s="497"/>
      <c r="K165" s="497"/>
    </row>
    <row r="166" spans="2:11">
      <c r="B166" s="550"/>
      <c r="C166" s="497"/>
      <c r="D166" s="497"/>
      <c r="E166" s="497"/>
      <c r="F166" s="497"/>
      <c r="G166" s="497"/>
      <c r="H166" s="497"/>
      <c r="I166" s="497"/>
      <c r="J166" s="497"/>
      <c r="K166" s="497"/>
    </row>
    <row r="167" spans="2:11">
      <c r="B167" s="550"/>
      <c r="C167" s="497"/>
      <c r="D167" s="497"/>
      <c r="E167" s="497"/>
      <c r="F167" s="497"/>
      <c r="G167" s="497"/>
      <c r="H167" s="497"/>
      <c r="I167" s="497"/>
      <c r="J167" s="497"/>
      <c r="K167" s="497"/>
    </row>
    <row r="168" spans="2:11">
      <c r="B168" s="550"/>
      <c r="C168" s="497"/>
      <c r="D168" s="497"/>
      <c r="E168" s="497"/>
      <c r="F168" s="497"/>
      <c r="G168" s="497"/>
      <c r="H168" s="497"/>
      <c r="I168" s="497"/>
      <c r="J168" s="497"/>
      <c r="K168" s="497"/>
    </row>
    <row r="169" spans="2:11">
      <c r="B169" s="550"/>
      <c r="C169" s="497"/>
      <c r="D169" s="497"/>
      <c r="E169" s="497"/>
      <c r="F169" s="497"/>
      <c r="G169" s="497"/>
      <c r="H169" s="497"/>
      <c r="I169" s="497"/>
      <c r="J169" s="497"/>
      <c r="K169" s="497"/>
    </row>
    <row r="170" spans="2:11">
      <c r="B170" s="550"/>
      <c r="C170" s="497"/>
      <c r="D170" s="497"/>
      <c r="E170" s="497"/>
      <c r="F170" s="497"/>
      <c r="G170" s="497"/>
      <c r="H170" s="497"/>
      <c r="I170" s="497"/>
      <c r="J170" s="497"/>
      <c r="K170" s="497"/>
    </row>
    <row r="171" spans="2:11">
      <c r="B171" s="550"/>
      <c r="C171" s="497"/>
      <c r="D171" s="497"/>
      <c r="E171" s="497"/>
      <c r="F171" s="497"/>
      <c r="G171" s="497"/>
      <c r="H171" s="497"/>
      <c r="I171" s="497"/>
      <c r="J171" s="497"/>
      <c r="K171" s="497"/>
    </row>
    <row r="172" spans="2:11">
      <c r="B172" s="550"/>
      <c r="C172" s="497"/>
      <c r="D172" s="497"/>
      <c r="E172" s="497"/>
      <c r="F172" s="497"/>
      <c r="G172" s="497"/>
      <c r="H172" s="497"/>
      <c r="I172" s="497"/>
      <c r="J172" s="497"/>
      <c r="K172" s="497"/>
    </row>
    <row r="173" spans="2:11">
      <c r="B173" s="550"/>
      <c r="C173" s="497"/>
      <c r="D173" s="497"/>
      <c r="E173" s="497"/>
      <c r="F173" s="497"/>
      <c r="G173" s="497"/>
      <c r="H173" s="497"/>
      <c r="I173" s="497"/>
      <c r="J173" s="497"/>
      <c r="K173" s="497"/>
    </row>
    <row r="174" spans="2:11">
      <c r="B174" s="550"/>
      <c r="C174" s="497"/>
      <c r="D174" s="497"/>
      <c r="E174" s="497"/>
      <c r="F174" s="497"/>
      <c r="G174" s="497"/>
      <c r="H174" s="497"/>
      <c r="I174" s="497"/>
      <c r="J174" s="497"/>
      <c r="K174" s="497"/>
    </row>
    <row r="175" spans="2:11">
      <c r="B175" s="550"/>
      <c r="C175" s="497"/>
      <c r="D175" s="497"/>
      <c r="E175" s="497"/>
      <c r="F175" s="497"/>
      <c r="G175" s="497"/>
      <c r="H175" s="497"/>
      <c r="I175" s="497"/>
      <c r="J175" s="497"/>
      <c r="K175" s="497"/>
    </row>
    <row r="176" spans="2:11">
      <c r="B176" s="550"/>
      <c r="C176" s="497"/>
      <c r="D176" s="497"/>
      <c r="E176" s="497"/>
      <c r="F176" s="497"/>
      <c r="G176" s="497"/>
      <c r="H176" s="497"/>
      <c r="I176" s="497"/>
      <c r="J176" s="497"/>
      <c r="K176" s="497"/>
    </row>
    <row r="177" spans="2:11">
      <c r="B177" s="550"/>
      <c r="C177" s="497"/>
      <c r="D177" s="497"/>
      <c r="E177" s="497"/>
      <c r="F177" s="497"/>
      <c r="G177" s="497"/>
      <c r="H177" s="497"/>
      <c r="I177" s="497"/>
      <c r="J177" s="497"/>
      <c r="K177" s="497"/>
    </row>
    <row r="178" spans="2:11">
      <c r="B178" s="550"/>
      <c r="C178" s="497"/>
      <c r="D178" s="497"/>
      <c r="E178" s="497"/>
      <c r="F178" s="497"/>
      <c r="G178" s="497"/>
      <c r="H178" s="497"/>
      <c r="I178" s="497"/>
      <c r="J178" s="497"/>
      <c r="K178" s="497"/>
    </row>
    <row r="179" spans="2:11">
      <c r="B179" s="550"/>
      <c r="C179" s="497"/>
      <c r="D179" s="497"/>
      <c r="E179" s="497"/>
      <c r="F179" s="497"/>
      <c r="G179" s="497"/>
      <c r="H179" s="497"/>
      <c r="I179" s="497"/>
      <c r="J179" s="497"/>
      <c r="K179" s="497"/>
    </row>
    <row r="180" spans="2:11">
      <c r="B180" s="550"/>
      <c r="C180" s="497"/>
      <c r="D180" s="497"/>
      <c r="E180" s="497"/>
      <c r="F180" s="497"/>
      <c r="G180" s="497"/>
      <c r="H180" s="497"/>
      <c r="I180" s="497"/>
      <c r="J180" s="497"/>
      <c r="K180" s="497"/>
    </row>
    <row r="181" spans="2:11">
      <c r="B181" s="550"/>
      <c r="C181" s="497"/>
      <c r="D181" s="497"/>
      <c r="E181" s="497"/>
      <c r="F181" s="497"/>
      <c r="G181" s="497"/>
      <c r="H181" s="497"/>
      <c r="I181" s="497"/>
      <c r="J181" s="497"/>
      <c r="K181" s="497"/>
    </row>
    <row r="182" spans="2:11">
      <c r="B182" s="550"/>
      <c r="C182" s="497"/>
      <c r="D182" s="497"/>
      <c r="E182" s="497"/>
      <c r="F182" s="497"/>
      <c r="G182" s="497"/>
      <c r="H182" s="497"/>
      <c r="I182" s="497"/>
      <c r="J182" s="497"/>
      <c r="K182" s="497"/>
    </row>
    <row r="183" spans="2:11">
      <c r="B183" s="550"/>
      <c r="C183" s="497"/>
      <c r="D183" s="497"/>
      <c r="E183" s="497"/>
      <c r="F183" s="497"/>
      <c r="G183" s="497"/>
      <c r="H183" s="497"/>
      <c r="I183" s="497"/>
      <c r="J183" s="497"/>
      <c r="K183" s="497"/>
    </row>
    <row r="184" spans="2:11">
      <c r="B184" s="550"/>
      <c r="C184" s="497"/>
      <c r="D184" s="497"/>
      <c r="E184" s="497"/>
      <c r="F184" s="497"/>
      <c r="G184" s="497"/>
      <c r="H184" s="497"/>
      <c r="I184" s="497"/>
      <c r="J184" s="497"/>
      <c r="K184" s="497"/>
    </row>
    <row r="185" spans="2:11">
      <c r="B185" s="550"/>
      <c r="C185" s="497"/>
      <c r="D185" s="497"/>
      <c r="E185" s="497"/>
      <c r="F185" s="497"/>
      <c r="G185" s="497"/>
      <c r="H185" s="497"/>
      <c r="I185" s="497"/>
      <c r="J185" s="497"/>
      <c r="K185" s="497"/>
    </row>
    <row r="186" spans="2:11">
      <c r="B186" s="550"/>
      <c r="C186" s="497"/>
      <c r="D186" s="497"/>
      <c r="E186" s="497"/>
      <c r="F186" s="497"/>
      <c r="G186" s="497"/>
      <c r="H186" s="497"/>
      <c r="I186" s="497"/>
      <c r="J186" s="497"/>
      <c r="K186" s="497"/>
    </row>
    <row r="187" spans="2:11">
      <c r="B187" s="550"/>
      <c r="C187" s="497"/>
      <c r="D187" s="497"/>
      <c r="E187" s="497"/>
      <c r="F187" s="497"/>
      <c r="G187" s="497"/>
      <c r="H187" s="497"/>
      <c r="I187" s="497"/>
      <c r="J187" s="497"/>
      <c r="K187" s="497"/>
    </row>
    <row r="188" spans="2:11">
      <c r="B188" s="550"/>
      <c r="C188" s="497"/>
      <c r="D188" s="497"/>
      <c r="E188" s="497"/>
      <c r="F188" s="497"/>
      <c r="G188" s="497"/>
      <c r="H188" s="497"/>
      <c r="I188" s="497"/>
      <c r="J188" s="497"/>
      <c r="K188" s="497"/>
    </row>
    <row r="189" spans="2:11">
      <c r="B189" s="550"/>
      <c r="C189" s="497"/>
      <c r="D189" s="497"/>
      <c r="E189" s="497"/>
      <c r="F189" s="497"/>
      <c r="G189" s="497"/>
      <c r="H189" s="497"/>
      <c r="I189" s="497"/>
      <c r="J189" s="497"/>
      <c r="K189" s="497"/>
    </row>
    <row r="190" spans="2:11">
      <c r="B190" s="550"/>
      <c r="C190" s="497"/>
      <c r="D190" s="497"/>
      <c r="E190" s="497"/>
      <c r="F190" s="497"/>
      <c r="G190" s="497"/>
      <c r="H190" s="497"/>
      <c r="I190" s="497"/>
      <c r="J190" s="497"/>
      <c r="K190" s="497"/>
    </row>
    <row r="191" spans="2:11">
      <c r="B191" s="550"/>
      <c r="C191" s="497"/>
      <c r="D191" s="497"/>
      <c r="E191" s="497"/>
      <c r="F191" s="497"/>
      <c r="G191" s="497"/>
      <c r="H191" s="497"/>
      <c r="I191" s="497"/>
      <c r="J191" s="497"/>
      <c r="K191" s="497"/>
    </row>
    <row r="192" spans="2:11">
      <c r="B192" s="550"/>
      <c r="C192" s="497"/>
      <c r="D192" s="497"/>
      <c r="E192" s="497"/>
      <c r="F192" s="497"/>
      <c r="G192" s="497"/>
      <c r="H192" s="497"/>
      <c r="I192" s="497"/>
      <c r="J192" s="497"/>
      <c r="K192" s="497"/>
    </row>
    <row r="193" spans="2:11">
      <c r="B193" s="550"/>
      <c r="C193" s="497"/>
      <c r="D193" s="497"/>
      <c r="E193" s="497"/>
      <c r="F193" s="497"/>
      <c r="G193" s="497"/>
      <c r="H193" s="497"/>
      <c r="I193" s="497"/>
      <c r="J193" s="497"/>
      <c r="K193" s="497"/>
    </row>
    <row r="194" spans="2:11">
      <c r="B194" s="550"/>
      <c r="C194" s="497"/>
      <c r="D194" s="497"/>
      <c r="E194" s="497"/>
      <c r="F194" s="497"/>
      <c r="G194" s="497"/>
      <c r="H194" s="497"/>
      <c r="I194" s="497"/>
      <c r="J194" s="497"/>
      <c r="K194" s="497"/>
    </row>
    <row r="195" spans="2:11">
      <c r="B195" s="550"/>
      <c r="C195" s="497"/>
      <c r="D195" s="497"/>
      <c r="E195" s="497"/>
      <c r="F195" s="497"/>
      <c r="G195" s="497"/>
      <c r="H195" s="497"/>
      <c r="I195" s="497"/>
      <c r="J195" s="497"/>
      <c r="K195" s="497"/>
    </row>
    <row r="196" spans="2:11">
      <c r="B196" s="550"/>
      <c r="C196" s="497"/>
      <c r="D196" s="497"/>
      <c r="E196" s="497"/>
      <c r="F196" s="497"/>
      <c r="G196" s="497"/>
      <c r="H196" s="497"/>
      <c r="I196" s="497"/>
      <c r="J196" s="497"/>
      <c r="K196" s="497"/>
    </row>
    <row r="197" spans="2:11">
      <c r="B197" s="550"/>
      <c r="C197" s="497"/>
      <c r="D197" s="497"/>
      <c r="E197" s="497"/>
      <c r="F197" s="497"/>
      <c r="G197" s="497"/>
      <c r="H197" s="497"/>
      <c r="I197" s="497"/>
      <c r="J197" s="497"/>
      <c r="K197" s="497"/>
    </row>
    <row r="198" spans="2:11">
      <c r="B198" s="550"/>
      <c r="C198" s="497"/>
      <c r="D198" s="497"/>
      <c r="E198" s="497"/>
      <c r="F198" s="497"/>
      <c r="G198" s="497"/>
      <c r="H198" s="497"/>
      <c r="I198" s="497"/>
      <c r="J198" s="497"/>
      <c r="K198" s="497"/>
    </row>
    <row r="199" spans="2:11">
      <c r="B199" s="550"/>
      <c r="C199" s="497"/>
      <c r="D199" s="497"/>
      <c r="E199" s="497"/>
      <c r="F199" s="497"/>
      <c r="G199" s="497"/>
      <c r="H199" s="497"/>
      <c r="I199" s="497"/>
      <c r="J199" s="497"/>
      <c r="K199" s="497"/>
    </row>
    <row r="200" spans="2:11">
      <c r="B200" s="550"/>
      <c r="C200" s="497"/>
      <c r="D200" s="497"/>
      <c r="E200" s="497"/>
      <c r="F200" s="497"/>
      <c r="G200" s="497"/>
      <c r="H200" s="497"/>
      <c r="I200" s="497"/>
      <c r="J200" s="497"/>
      <c r="K200" s="497"/>
    </row>
    <row r="201" spans="2:11">
      <c r="B201" s="550"/>
      <c r="C201" s="497"/>
      <c r="D201" s="497"/>
      <c r="E201" s="497"/>
      <c r="F201" s="497"/>
      <c r="G201" s="497"/>
      <c r="H201" s="497"/>
      <c r="I201" s="497"/>
      <c r="J201" s="497"/>
      <c r="K201" s="497"/>
    </row>
    <row r="202" spans="2:11">
      <c r="B202" s="550"/>
      <c r="C202" s="497"/>
      <c r="D202" s="497"/>
      <c r="E202" s="497"/>
      <c r="F202" s="497"/>
      <c r="G202" s="497"/>
      <c r="H202" s="497"/>
      <c r="I202" s="497"/>
      <c r="J202" s="497"/>
      <c r="K202" s="497"/>
    </row>
    <row r="203" spans="2:11">
      <c r="B203" s="550"/>
      <c r="C203" s="497"/>
      <c r="D203" s="497"/>
      <c r="E203" s="497"/>
      <c r="F203" s="497"/>
      <c r="G203" s="497"/>
      <c r="H203" s="497"/>
      <c r="I203" s="497"/>
      <c r="J203" s="497"/>
      <c r="K203" s="497"/>
    </row>
    <row r="204" spans="2:11">
      <c r="B204" s="550"/>
      <c r="C204" s="497"/>
      <c r="D204" s="497"/>
      <c r="E204" s="497"/>
      <c r="F204" s="497"/>
      <c r="G204" s="497"/>
      <c r="H204" s="497"/>
      <c r="I204" s="497"/>
      <c r="J204" s="497"/>
      <c r="K204" s="497"/>
    </row>
    <row r="205" spans="2:11">
      <c r="B205" s="550"/>
      <c r="C205" s="497"/>
      <c r="D205" s="497"/>
      <c r="E205" s="497"/>
      <c r="F205" s="497"/>
      <c r="G205" s="497"/>
      <c r="H205" s="497"/>
      <c r="I205" s="497"/>
      <c r="J205" s="497"/>
      <c r="K205" s="497"/>
    </row>
    <row r="206" spans="2:11">
      <c r="B206" s="550"/>
      <c r="C206" s="497"/>
      <c r="D206" s="497"/>
      <c r="E206" s="497"/>
      <c r="F206" s="497"/>
      <c r="G206" s="497"/>
      <c r="H206" s="497"/>
      <c r="I206" s="497"/>
      <c r="J206" s="497"/>
      <c r="K206" s="497"/>
    </row>
    <row r="207" spans="2:11">
      <c r="B207" s="550"/>
      <c r="C207" s="497"/>
      <c r="D207" s="497"/>
      <c r="E207" s="497"/>
      <c r="F207" s="497"/>
      <c r="G207" s="497"/>
      <c r="H207" s="497"/>
      <c r="I207" s="497"/>
      <c r="J207" s="497"/>
      <c r="K207" s="497"/>
    </row>
    <row r="208" spans="2:11">
      <c r="B208" s="550"/>
      <c r="C208" s="497"/>
      <c r="D208" s="497"/>
      <c r="E208" s="497"/>
      <c r="F208" s="497"/>
      <c r="G208" s="497"/>
      <c r="H208" s="497"/>
      <c r="I208" s="497"/>
      <c r="J208" s="497"/>
      <c r="K208" s="497"/>
    </row>
    <row r="209" spans="2:11">
      <c r="B209" s="550"/>
      <c r="C209" s="497"/>
      <c r="D209" s="497"/>
      <c r="E209" s="497"/>
      <c r="F209" s="497"/>
      <c r="G209" s="497"/>
      <c r="H209" s="497"/>
      <c r="I209" s="497"/>
      <c r="J209" s="497"/>
      <c r="K209" s="497"/>
    </row>
    <row r="210" spans="2:11">
      <c r="B210" s="550"/>
      <c r="C210" s="497"/>
      <c r="D210" s="497"/>
      <c r="E210" s="497"/>
      <c r="F210" s="497"/>
      <c r="G210" s="497"/>
      <c r="H210" s="497"/>
      <c r="I210" s="497"/>
      <c r="J210" s="497"/>
      <c r="K210" s="497"/>
    </row>
    <row r="211" spans="2:11" ht="14.25" customHeight="1">
      <c r="B211" s="550"/>
      <c r="C211" s="497"/>
      <c r="D211" s="497"/>
      <c r="E211" s="497"/>
      <c r="F211" s="497"/>
      <c r="G211" s="497"/>
      <c r="H211" s="497"/>
      <c r="I211" s="497"/>
      <c r="J211" s="497"/>
      <c r="K211" s="497"/>
    </row>
    <row r="212" spans="2:11" ht="12.75" customHeight="1">
      <c r="B212" s="550"/>
      <c r="C212" s="497"/>
      <c r="D212" s="497"/>
      <c r="E212" s="497"/>
      <c r="F212" s="497"/>
      <c r="G212" s="497"/>
      <c r="H212" s="497"/>
      <c r="I212" s="497"/>
      <c r="J212" s="497"/>
      <c r="K212" s="497"/>
    </row>
    <row r="213" spans="2:11" ht="12.75" customHeight="1">
      <c r="B213" s="550"/>
      <c r="C213" s="497"/>
      <c r="D213" s="497"/>
      <c r="E213" s="497"/>
      <c r="F213" s="497"/>
      <c r="G213" s="497"/>
      <c r="H213" s="497"/>
      <c r="I213" s="497"/>
      <c r="J213" s="497"/>
      <c r="K213" s="497"/>
    </row>
    <row r="214" spans="2:11" ht="12.75" customHeight="1">
      <c r="B214" s="550"/>
      <c r="C214" s="497"/>
      <c r="D214" s="497"/>
      <c r="E214" s="497"/>
      <c r="F214" s="497"/>
      <c r="G214" s="497"/>
      <c r="H214" s="497"/>
      <c r="I214" s="497"/>
      <c r="J214" s="497"/>
      <c r="K214" s="497"/>
    </row>
    <row r="215" spans="2:11" ht="12.75" customHeight="1">
      <c r="B215" s="550"/>
      <c r="C215" s="497"/>
      <c r="D215" s="497"/>
      <c r="E215" s="497"/>
      <c r="F215" s="497"/>
      <c r="G215" s="497"/>
      <c r="H215" s="497"/>
      <c r="I215" s="497"/>
      <c r="J215" s="497"/>
      <c r="K215" s="497"/>
    </row>
    <row r="216" spans="2:11" ht="12.75" customHeight="1">
      <c r="B216" s="550"/>
      <c r="C216" s="497"/>
      <c r="D216" s="497"/>
      <c r="E216" s="497"/>
      <c r="F216" s="497"/>
      <c r="G216" s="497"/>
      <c r="H216" s="497"/>
      <c r="I216" s="497"/>
      <c r="J216" s="497"/>
      <c r="K216" s="497"/>
    </row>
    <row r="217" spans="2:11" ht="12.75" customHeight="1">
      <c r="B217" s="550"/>
      <c r="C217" s="497"/>
      <c r="D217" s="497"/>
      <c r="E217" s="497"/>
      <c r="F217" s="497"/>
      <c r="G217" s="497"/>
      <c r="H217" s="497"/>
      <c r="I217" s="497"/>
      <c r="J217" s="497"/>
      <c r="K217" s="497"/>
    </row>
    <row r="218" spans="2:11" ht="12.75" customHeight="1">
      <c r="B218" s="550"/>
      <c r="C218" s="497"/>
      <c r="D218" s="497"/>
      <c r="E218" s="497"/>
      <c r="F218" s="497"/>
      <c r="G218" s="497"/>
      <c r="H218" s="497"/>
      <c r="I218" s="497"/>
      <c r="J218" s="497"/>
      <c r="K218" s="497"/>
    </row>
    <row r="219" spans="2:11" ht="12.75" customHeight="1">
      <c r="B219" s="550"/>
      <c r="C219" s="497"/>
      <c r="D219" s="497"/>
      <c r="E219" s="497"/>
      <c r="F219" s="497"/>
      <c r="G219" s="497"/>
      <c r="H219" s="497"/>
      <c r="I219" s="497"/>
      <c r="J219" s="497"/>
      <c r="K219" s="497"/>
    </row>
    <row r="220" spans="2:11" ht="12.75" customHeight="1">
      <c r="B220" s="550"/>
      <c r="C220" s="497"/>
      <c r="D220" s="497"/>
      <c r="E220" s="497"/>
      <c r="F220" s="497"/>
      <c r="G220" s="497"/>
      <c r="H220" s="497"/>
      <c r="I220" s="497"/>
      <c r="J220" s="497"/>
      <c r="K220" s="497"/>
    </row>
    <row r="221" spans="2:11" ht="12.75" customHeight="1">
      <c r="B221" s="550"/>
      <c r="C221" s="497"/>
      <c r="D221" s="497"/>
      <c r="E221" s="497"/>
      <c r="F221" s="497"/>
      <c r="G221" s="497"/>
      <c r="H221" s="497"/>
      <c r="I221" s="497"/>
      <c r="J221" s="497"/>
      <c r="K221" s="497"/>
    </row>
    <row r="222" spans="2:11" ht="12.75" customHeight="1">
      <c r="B222" s="550"/>
      <c r="C222" s="497"/>
      <c r="D222" s="497"/>
      <c r="E222" s="497"/>
      <c r="F222" s="497"/>
      <c r="G222" s="497"/>
      <c r="H222" s="497"/>
      <c r="I222" s="497"/>
      <c r="J222" s="497"/>
      <c r="K222" s="497"/>
    </row>
    <row r="223" spans="2:11" ht="12.75" customHeight="1">
      <c r="B223" s="550"/>
      <c r="C223" s="497"/>
      <c r="D223" s="497"/>
      <c r="E223" s="497"/>
      <c r="F223" s="497"/>
      <c r="G223" s="497"/>
      <c r="H223" s="497"/>
      <c r="I223" s="497"/>
      <c r="J223" s="497"/>
      <c r="K223" s="497"/>
    </row>
    <row r="224" spans="2:11" ht="12.75" customHeight="1">
      <c r="B224" s="550"/>
      <c r="C224" s="497"/>
      <c r="D224" s="497"/>
      <c r="E224" s="497"/>
      <c r="F224" s="497"/>
      <c r="G224" s="497"/>
      <c r="H224" s="497"/>
      <c r="I224" s="497"/>
      <c r="J224" s="497"/>
      <c r="K224" s="497"/>
    </row>
    <row r="225" spans="2:11" ht="12.75" customHeight="1">
      <c r="B225" s="550"/>
      <c r="C225" s="497"/>
      <c r="D225" s="497"/>
      <c r="E225" s="497"/>
      <c r="F225" s="497"/>
      <c r="G225" s="497"/>
      <c r="H225" s="497"/>
      <c r="I225" s="497"/>
      <c r="J225" s="497"/>
      <c r="K225" s="497"/>
    </row>
    <row r="226" spans="2:11" ht="12.75" customHeight="1">
      <c r="B226" s="550"/>
      <c r="C226" s="497"/>
      <c r="D226" s="497"/>
      <c r="E226" s="497"/>
      <c r="F226" s="497"/>
      <c r="G226" s="497"/>
      <c r="H226" s="497"/>
      <c r="I226" s="497"/>
      <c r="J226" s="497"/>
      <c r="K226" s="497"/>
    </row>
    <row r="227" spans="2:11">
      <c r="B227" s="550"/>
      <c r="C227" s="497"/>
      <c r="D227" s="497"/>
      <c r="E227" s="497"/>
      <c r="F227" s="497"/>
      <c r="G227" s="497"/>
      <c r="H227" s="497"/>
      <c r="I227" s="497"/>
      <c r="J227" s="497"/>
      <c r="K227" s="497"/>
    </row>
    <row r="228" spans="2:11">
      <c r="B228" s="550"/>
      <c r="C228" s="497"/>
      <c r="D228" s="497"/>
      <c r="E228" s="497"/>
      <c r="F228" s="497"/>
      <c r="G228" s="497"/>
      <c r="H228" s="497"/>
      <c r="I228" s="497"/>
      <c r="J228" s="497"/>
      <c r="K228" s="497"/>
    </row>
    <row r="229" spans="2:11">
      <c r="B229" s="550"/>
      <c r="C229" s="497"/>
      <c r="D229" s="497"/>
      <c r="E229" s="497"/>
      <c r="F229" s="497"/>
      <c r="G229" s="497"/>
      <c r="H229" s="497"/>
      <c r="I229" s="497"/>
      <c r="J229" s="497"/>
      <c r="K229" s="497"/>
    </row>
    <row r="230" spans="2:11">
      <c r="B230" s="550"/>
      <c r="C230" s="497"/>
      <c r="D230" s="497"/>
      <c r="E230" s="497"/>
      <c r="F230" s="497"/>
      <c r="G230" s="497"/>
      <c r="H230" s="497"/>
      <c r="I230" s="497"/>
      <c r="J230" s="497"/>
      <c r="K230" s="497"/>
    </row>
    <row r="231" spans="2:11">
      <c r="B231" s="550"/>
      <c r="C231" s="497"/>
      <c r="D231" s="497"/>
      <c r="E231" s="497"/>
      <c r="F231" s="497"/>
      <c r="G231" s="497"/>
      <c r="H231" s="497"/>
      <c r="I231" s="497"/>
      <c r="J231" s="497"/>
      <c r="K231" s="497"/>
    </row>
    <row r="232" spans="2:11">
      <c r="B232" s="550"/>
      <c r="C232" s="497"/>
      <c r="D232" s="497"/>
      <c r="E232" s="497"/>
      <c r="F232" s="497"/>
      <c r="G232" s="497"/>
      <c r="H232" s="497"/>
      <c r="I232" s="497"/>
      <c r="J232" s="497"/>
      <c r="K232" s="497"/>
    </row>
    <row r="233" spans="2:11">
      <c r="B233" s="550"/>
      <c r="C233" s="497"/>
      <c r="D233" s="497"/>
      <c r="E233" s="497"/>
      <c r="F233" s="497"/>
      <c r="G233" s="497"/>
      <c r="H233" s="497"/>
      <c r="I233" s="497"/>
      <c r="J233" s="497"/>
      <c r="K233" s="497"/>
    </row>
    <row r="234" spans="2:11">
      <c r="B234" s="550"/>
      <c r="C234" s="497"/>
      <c r="D234" s="497"/>
      <c r="E234" s="497"/>
      <c r="F234" s="497"/>
      <c r="G234" s="497"/>
      <c r="H234" s="497"/>
      <c r="I234" s="497"/>
      <c r="J234" s="497"/>
      <c r="K234" s="497"/>
    </row>
    <row r="235" spans="2:11">
      <c r="B235" s="550"/>
      <c r="C235" s="497"/>
      <c r="D235" s="497"/>
      <c r="E235" s="497"/>
      <c r="F235" s="497"/>
      <c r="G235" s="497"/>
      <c r="H235" s="497"/>
      <c r="I235" s="497"/>
      <c r="J235" s="497"/>
      <c r="K235" s="497"/>
    </row>
    <row r="236" spans="2:11">
      <c r="B236" s="550"/>
      <c r="C236" s="497"/>
      <c r="D236" s="497"/>
      <c r="E236" s="497"/>
      <c r="F236" s="497"/>
      <c r="G236" s="497"/>
      <c r="H236" s="497"/>
      <c r="I236" s="497"/>
      <c r="J236" s="497"/>
      <c r="K236" s="497"/>
    </row>
    <row r="237" spans="2:11">
      <c r="B237" s="550"/>
      <c r="C237" s="497"/>
      <c r="D237" s="497"/>
      <c r="E237" s="497"/>
      <c r="F237" s="497"/>
      <c r="G237" s="497"/>
      <c r="H237" s="497"/>
      <c r="I237" s="497"/>
      <c r="J237" s="497"/>
      <c r="K237" s="497"/>
    </row>
    <row r="238" spans="2:11">
      <c r="B238" s="550"/>
      <c r="C238" s="497"/>
      <c r="D238" s="497"/>
      <c r="E238" s="497"/>
      <c r="F238" s="497"/>
      <c r="G238" s="497"/>
      <c r="H238" s="497"/>
      <c r="I238" s="497"/>
      <c r="J238" s="497"/>
      <c r="K238" s="497"/>
    </row>
    <row r="239" spans="2:11">
      <c r="B239" s="550"/>
      <c r="C239" s="497"/>
      <c r="D239" s="497"/>
      <c r="E239" s="497"/>
      <c r="F239" s="497"/>
      <c r="G239" s="497"/>
      <c r="H239" s="497"/>
      <c r="I239" s="497"/>
      <c r="J239" s="497"/>
      <c r="K239" s="497"/>
    </row>
    <row r="240" spans="2:11">
      <c r="B240" s="550"/>
      <c r="C240" s="497"/>
      <c r="D240" s="497"/>
      <c r="E240" s="497"/>
      <c r="F240" s="497"/>
      <c r="G240" s="497"/>
      <c r="H240" s="497"/>
      <c r="I240" s="497"/>
      <c r="J240" s="497"/>
      <c r="K240" s="497"/>
    </row>
    <row r="241" spans="2:11">
      <c r="B241" s="550"/>
      <c r="C241" s="497"/>
      <c r="D241" s="497"/>
      <c r="E241" s="497"/>
      <c r="F241" s="497"/>
      <c r="G241" s="497"/>
      <c r="H241" s="497"/>
      <c r="I241" s="497"/>
      <c r="J241" s="497"/>
      <c r="K241" s="497"/>
    </row>
    <row r="242" spans="2:11">
      <c r="B242" s="550"/>
      <c r="C242" s="497"/>
      <c r="D242" s="497"/>
      <c r="E242" s="497"/>
      <c r="F242" s="497"/>
      <c r="G242" s="497"/>
      <c r="H242" s="497"/>
      <c r="I242" s="497"/>
      <c r="J242" s="497"/>
      <c r="K242" s="497"/>
    </row>
    <row r="243" spans="2:11">
      <c r="B243" s="550"/>
      <c r="C243" s="497"/>
      <c r="D243" s="497"/>
      <c r="E243" s="497"/>
      <c r="F243" s="497"/>
      <c r="G243" s="497"/>
      <c r="H243" s="497"/>
      <c r="I243" s="497"/>
      <c r="J243" s="497"/>
      <c r="K243" s="497"/>
    </row>
    <row r="244" spans="2:11">
      <c r="B244" s="550"/>
      <c r="C244" s="497"/>
      <c r="D244" s="497"/>
      <c r="E244" s="497"/>
      <c r="F244" s="497"/>
      <c r="G244" s="497"/>
      <c r="H244" s="497"/>
      <c r="I244" s="497"/>
      <c r="J244" s="497"/>
      <c r="K244" s="497"/>
    </row>
  </sheetData>
  <mergeCells count="5">
    <mergeCell ref="G54:G57"/>
    <mergeCell ref="A2:J2"/>
    <mergeCell ref="A3:J3"/>
    <mergeCell ref="A4:J4"/>
    <mergeCell ref="A5:J5"/>
  </mergeCells>
  <phoneticPr fontId="0" type="noConversion"/>
  <printOptions horizontalCentered="1"/>
  <pageMargins left="0.25" right="0.25" top="1" bottom="1" header="0.65" footer="0.5"/>
  <pageSetup scale="10" orientation="portrait" horizontalDpi="1200" verticalDpi="1200" r:id="rId1"/>
  <headerFooter alignWithMargins="0">
    <oddHeader xml:space="preserve">&amp;R&amp;16AEP - SPP Transco Formula Rate
TCOS - WS C
Page: &amp;P of &amp;N
</oddHeader>
    <oddFooter xml:space="preserve">&amp;C &amp;R </oddFooter>
  </headerFooter>
  <rowBreaks count="1" manualBreakCount="1">
    <brk id="8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155"/>
  <sheetViews>
    <sheetView zoomScale="81" zoomScaleNormal="81" zoomScaleSheetLayoutView="100" zoomScalePageLayoutView="80" workbookViewId="0">
      <selection activeCell="K23" sqref="K23"/>
    </sheetView>
  </sheetViews>
  <sheetFormatPr defaultColWidth="8.81640625" defaultRowHeight="12.5"/>
  <cols>
    <col min="1" max="2" width="1.7265625" style="497" customWidth="1"/>
    <col min="3" max="3" width="11.54296875" style="497" customWidth="1"/>
    <col min="4" max="4" width="1.7265625" style="552" customWidth="1"/>
    <col min="5" max="5" width="11" style="497" customWidth="1"/>
    <col min="6" max="6" width="1.54296875" style="497" customWidth="1"/>
    <col min="7" max="7" width="54.7265625" style="497" customWidth="1"/>
    <col min="8" max="8" width="20.453125" style="553" bestFit="1" customWidth="1"/>
    <col min="9" max="9" width="12.453125" style="497" customWidth="1"/>
    <col min="10" max="10" width="13.7265625" style="497" customWidth="1"/>
    <col min="11" max="11" width="14.81640625" style="497" customWidth="1"/>
    <col min="12" max="12" width="14.453125" style="497" customWidth="1"/>
    <col min="13" max="14" width="13.7265625" style="497" customWidth="1"/>
    <col min="15" max="16384" width="8.81640625" style="497"/>
  </cols>
  <sheetData>
    <row r="1" spans="1:24" ht="15.5">
      <c r="A1" s="551"/>
    </row>
    <row r="2" spans="1:24" ht="20">
      <c r="A2" s="554"/>
      <c r="B2" s="555"/>
      <c r="D2" s="497"/>
      <c r="I2" s="504"/>
      <c r="J2" s="504"/>
      <c r="K2" s="504"/>
      <c r="L2" s="504"/>
      <c r="M2" s="504"/>
      <c r="N2" s="508"/>
    </row>
    <row r="3" spans="1:24" ht="20.25" customHeight="1">
      <c r="A3" s="508"/>
      <c r="B3" s="507"/>
      <c r="C3" s="2004" t="str">
        <f>+'OKT TCOS'!F4</f>
        <v xml:space="preserve">AEP West SPP Member Transmission Companies </v>
      </c>
      <c r="D3" s="2004"/>
      <c r="E3" s="2004"/>
      <c r="F3" s="2004"/>
      <c r="G3" s="2004"/>
      <c r="H3" s="2004"/>
      <c r="I3" s="2004"/>
      <c r="J3" s="2004"/>
      <c r="K3" s="2004"/>
      <c r="L3" s="2004"/>
      <c r="M3" s="2004"/>
      <c r="N3" s="2004"/>
    </row>
    <row r="4" spans="1:24" ht="20.25" customHeight="1">
      <c r="C4" s="2002" t="str">
        <f>+'OKT TCOS'!F8</f>
        <v>AEP OKLAHOMA TRANSMISSION COMPANY, INC.</v>
      </c>
      <c r="D4" s="2002"/>
      <c r="E4" s="2002"/>
      <c r="F4" s="2002"/>
      <c r="G4" s="2002"/>
      <c r="H4" s="2002"/>
      <c r="I4" s="2002"/>
      <c r="J4" s="2002"/>
      <c r="K4" s="2002"/>
      <c r="L4" s="2002"/>
      <c r="M4" s="2002"/>
      <c r="N4" s="2002"/>
    </row>
    <row r="5" spans="1:24" ht="22.5" customHeight="1">
      <c r="C5" s="2002" t="s">
        <v>627</v>
      </c>
      <c r="D5" s="2002"/>
      <c r="E5" s="2002"/>
      <c r="F5" s="2002"/>
      <c r="G5" s="2002"/>
      <c r="H5" s="2002"/>
      <c r="I5" s="2002"/>
      <c r="J5" s="2002"/>
      <c r="K5" s="2002"/>
      <c r="L5" s="2002"/>
      <c r="M5" s="2002"/>
      <c r="N5" s="2002"/>
    </row>
    <row r="6" spans="1:24" ht="18" customHeight="1">
      <c r="C6" s="2007" t="str">
        <f>"AS OF DECEMBER 31, "&amp;'OKT TCOS'!N2</f>
        <v>AS OF DECEMBER 31, 2019</v>
      </c>
      <c r="D6" s="2007"/>
      <c r="E6" s="2007"/>
      <c r="F6" s="2007"/>
      <c r="G6" s="2007"/>
      <c r="H6" s="2007"/>
      <c r="I6" s="2007"/>
      <c r="J6" s="2007"/>
      <c r="K6" s="2007"/>
      <c r="L6" s="2007"/>
      <c r="M6" s="2007"/>
      <c r="N6" s="2007"/>
    </row>
    <row r="7" spans="1:24">
      <c r="D7" s="497"/>
    </row>
    <row r="8" spans="1:24">
      <c r="D8" s="497"/>
      <c r="J8" s="2006" t="s">
        <v>151</v>
      </c>
      <c r="K8" s="2006"/>
      <c r="L8" s="2006"/>
      <c r="M8" s="2006"/>
      <c r="N8" s="2006"/>
    </row>
    <row r="9" spans="1:24" ht="26">
      <c r="C9" s="556" t="s">
        <v>389</v>
      </c>
      <c r="D9" s="557"/>
      <c r="E9" s="556" t="s">
        <v>152</v>
      </c>
      <c r="G9" s="556" t="s">
        <v>305</v>
      </c>
      <c r="H9" s="558" t="s">
        <v>315</v>
      </c>
      <c r="I9" s="559" t="s">
        <v>85</v>
      </c>
      <c r="J9" s="559" t="s">
        <v>153</v>
      </c>
      <c r="K9" s="559" t="s">
        <v>154</v>
      </c>
      <c r="L9" s="556" t="s">
        <v>155</v>
      </c>
      <c r="M9" s="556" t="s">
        <v>156</v>
      </c>
      <c r="N9" s="556" t="s">
        <v>299</v>
      </c>
    </row>
    <row r="10" spans="1:24">
      <c r="C10" s="560" t="s">
        <v>586</v>
      </c>
      <c r="D10" s="561" t="s">
        <v>336</v>
      </c>
      <c r="E10" s="562" t="s">
        <v>656</v>
      </c>
      <c r="F10" s="563"/>
      <c r="G10" s="562" t="s">
        <v>956</v>
      </c>
      <c r="H10" s="564">
        <v>-107697454</v>
      </c>
      <c r="I10" s="565" t="s">
        <v>55</v>
      </c>
      <c r="J10" s="1969">
        <v>-13197253.998216391</v>
      </c>
      <c r="K10" s="527">
        <f>IF($I10="T",$H10," ")-J10</f>
        <v>-94500200.001783609</v>
      </c>
      <c r="L10" s="527" t="str">
        <f t="shared" ref="L10:L27" si="0">IF($I10="PTD",$H10," ")</f>
        <v xml:space="preserve"> </v>
      </c>
      <c r="M10" s="566" t="str">
        <f t="shared" ref="M10:M27" si="1">IF($I10="T&amp;D",$H10," ")</f>
        <v xml:space="preserve"> </v>
      </c>
      <c r="N10" s="566" t="str">
        <f t="shared" ref="N10" si="2">IF(I10="Labor",H10," ")</f>
        <v xml:space="preserve"> </v>
      </c>
      <c r="P10" s="132"/>
      <c r="Q10" s="132"/>
      <c r="R10" s="132"/>
      <c r="S10" s="132"/>
      <c r="T10" s="132"/>
      <c r="U10" s="132"/>
      <c r="V10" s="132"/>
      <c r="W10" s="132"/>
      <c r="X10" s="132"/>
    </row>
    <row r="11" spans="1:24">
      <c r="C11" s="560" t="s">
        <v>586</v>
      </c>
      <c r="D11" s="561"/>
      <c r="E11" s="562" t="s">
        <v>1086</v>
      </c>
      <c r="F11" s="563"/>
      <c r="G11" s="562" t="s">
        <v>1088</v>
      </c>
      <c r="H11" s="564">
        <v>-4901017.9000000004</v>
      </c>
      <c r="I11" s="565" t="s">
        <v>55</v>
      </c>
      <c r="J11" s="566"/>
      <c r="K11" s="527">
        <f t="shared" ref="K11:K27" si="3">IF($I11="T",$H11," ")</f>
        <v>-4901017.9000000004</v>
      </c>
      <c r="L11" s="527"/>
      <c r="M11" s="566"/>
      <c r="N11" s="566"/>
      <c r="P11" s="132"/>
      <c r="Q11" s="132"/>
      <c r="R11" s="132"/>
      <c r="S11" s="132"/>
      <c r="T11" s="132"/>
      <c r="U11" s="132"/>
      <c r="V11" s="132"/>
      <c r="W11" s="132"/>
      <c r="X11" s="132"/>
    </row>
    <row r="12" spans="1:24">
      <c r="C12" s="560" t="s">
        <v>586</v>
      </c>
      <c r="D12" s="561" t="s">
        <v>336</v>
      </c>
      <c r="E12" s="562" t="s">
        <v>657</v>
      </c>
      <c r="F12" s="563"/>
      <c r="G12" s="562" t="s">
        <v>957</v>
      </c>
      <c r="H12" s="564">
        <v>-1592.43</v>
      </c>
      <c r="I12" s="565" t="s">
        <v>290</v>
      </c>
      <c r="J12" s="566">
        <f t="shared" ref="J12:J22" si="4">IF(I12="e",H12," ")</f>
        <v>-1592.43</v>
      </c>
      <c r="K12" s="527" t="str">
        <f t="shared" si="3"/>
        <v xml:space="preserve"> </v>
      </c>
      <c r="L12" s="527" t="str">
        <f t="shared" si="0"/>
        <v xml:space="preserve"> </v>
      </c>
      <c r="M12" s="566" t="str">
        <f t="shared" si="1"/>
        <v xml:space="preserve"> </v>
      </c>
      <c r="N12" s="566" t="str">
        <f t="shared" ref="N12:N22" si="5">IF(I12="Labor",H12," ")</f>
        <v xml:space="preserve"> </v>
      </c>
      <c r="P12" s="132"/>
      <c r="Q12" s="132"/>
      <c r="R12" s="132"/>
      <c r="S12" s="132"/>
      <c r="T12" s="132"/>
      <c r="U12" s="132"/>
      <c r="V12" s="132"/>
      <c r="W12" s="132"/>
      <c r="X12" s="132"/>
    </row>
    <row r="13" spans="1:24">
      <c r="C13" s="560" t="s">
        <v>586</v>
      </c>
      <c r="D13" s="561"/>
      <c r="E13" s="562" t="s">
        <v>1087</v>
      </c>
      <c r="F13" s="563"/>
      <c r="G13" s="562" t="s">
        <v>1089</v>
      </c>
      <c r="H13" s="564">
        <v>-745503.78</v>
      </c>
      <c r="I13" s="565" t="s">
        <v>55</v>
      </c>
      <c r="J13" s="566"/>
      <c r="K13" s="527">
        <f t="shared" si="3"/>
        <v>-745503.78</v>
      </c>
      <c r="L13" s="527"/>
      <c r="M13" s="566"/>
      <c r="N13" s="566"/>
      <c r="P13" s="132"/>
      <c r="Q13" s="132"/>
      <c r="R13" s="132"/>
      <c r="S13" s="132"/>
      <c r="T13" s="132"/>
      <c r="U13" s="132"/>
      <c r="V13" s="132"/>
      <c r="W13" s="132"/>
      <c r="X13" s="132"/>
    </row>
    <row r="14" spans="1:24">
      <c r="C14" s="560" t="s">
        <v>586</v>
      </c>
      <c r="D14" s="561" t="s">
        <v>336</v>
      </c>
      <c r="E14" s="562" t="s">
        <v>658</v>
      </c>
      <c r="F14" s="563"/>
      <c r="G14" s="562" t="s">
        <v>958</v>
      </c>
      <c r="H14" s="564">
        <v>39699.870000000003</v>
      </c>
      <c r="I14" s="565" t="s">
        <v>55</v>
      </c>
      <c r="J14" s="566" t="str">
        <f t="shared" si="4"/>
        <v xml:space="preserve"> </v>
      </c>
      <c r="K14" s="527">
        <f t="shared" si="3"/>
        <v>39699.870000000003</v>
      </c>
      <c r="L14" s="527" t="str">
        <f t="shared" si="0"/>
        <v xml:space="preserve"> </v>
      </c>
      <c r="M14" s="566" t="str">
        <f t="shared" si="1"/>
        <v xml:space="preserve"> </v>
      </c>
      <c r="N14" s="566" t="str">
        <f t="shared" si="5"/>
        <v xml:space="preserve"> </v>
      </c>
      <c r="P14" s="132"/>
      <c r="Q14" s="132"/>
      <c r="R14" s="132"/>
      <c r="S14" s="132"/>
      <c r="T14" s="132"/>
      <c r="U14" s="132"/>
      <c r="V14" s="132"/>
      <c r="W14" s="132"/>
      <c r="X14" s="132"/>
    </row>
    <row r="15" spans="1:24">
      <c r="C15" s="560" t="s">
        <v>586</v>
      </c>
      <c r="D15" s="561" t="s">
        <v>336</v>
      </c>
      <c r="E15" s="562" t="s">
        <v>659</v>
      </c>
      <c r="F15" s="563"/>
      <c r="G15" s="562" t="s">
        <v>959</v>
      </c>
      <c r="H15" s="564">
        <v>-2901004.96</v>
      </c>
      <c r="I15" s="565" t="s">
        <v>55</v>
      </c>
      <c r="J15" s="566" t="str">
        <f t="shared" si="4"/>
        <v xml:space="preserve"> </v>
      </c>
      <c r="K15" s="527">
        <f t="shared" si="3"/>
        <v>-2901004.96</v>
      </c>
      <c r="L15" s="527" t="str">
        <f t="shared" si="0"/>
        <v xml:space="preserve"> </v>
      </c>
      <c r="M15" s="566" t="str">
        <f t="shared" si="1"/>
        <v xml:space="preserve"> </v>
      </c>
      <c r="N15" s="566" t="str">
        <f t="shared" si="5"/>
        <v xml:space="preserve"> </v>
      </c>
    </row>
    <row r="16" spans="1:24">
      <c r="C16" s="560" t="s">
        <v>586</v>
      </c>
      <c r="D16" s="561" t="s">
        <v>336</v>
      </c>
      <c r="E16" s="562" t="s">
        <v>660</v>
      </c>
      <c r="F16" s="563"/>
      <c r="G16" s="562" t="s">
        <v>960</v>
      </c>
      <c r="H16" s="564">
        <v>5936192.21</v>
      </c>
      <c r="I16" s="565" t="s">
        <v>55</v>
      </c>
      <c r="J16" s="566" t="str">
        <f t="shared" si="4"/>
        <v xml:space="preserve"> </v>
      </c>
      <c r="K16" s="527">
        <f t="shared" si="3"/>
        <v>5936192.21</v>
      </c>
      <c r="L16" s="527" t="str">
        <f t="shared" si="0"/>
        <v xml:space="preserve"> </v>
      </c>
      <c r="M16" s="566" t="str">
        <f t="shared" si="1"/>
        <v xml:space="preserve"> </v>
      </c>
      <c r="N16" s="566" t="str">
        <f t="shared" si="5"/>
        <v xml:space="preserve"> </v>
      </c>
    </row>
    <row r="17" spans="3:15">
      <c r="C17" s="560" t="s">
        <v>586</v>
      </c>
      <c r="D17" s="561"/>
      <c r="E17" s="562" t="s">
        <v>1019</v>
      </c>
      <c r="F17" s="563"/>
      <c r="G17" s="562" t="s">
        <v>1027</v>
      </c>
      <c r="H17" s="564">
        <v>1230264.82</v>
      </c>
      <c r="I17" s="565" t="s">
        <v>290</v>
      </c>
      <c r="J17" s="566">
        <f t="shared" si="4"/>
        <v>1230264.82</v>
      </c>
      <c r="K17" s="527" t="str">
        <f t="shared" si="3"/>
        <v xml:space="preserve"> </v>
      </c>
      <c r="L17" s="527" t="str">
        <f t="shared" si="0"/>
        <v xml:space="preserve"> </v>
      </c>
      <c r="M17" s="566" t="str">
        <f t="shared" si="1"/>
        <v xml:space="preserve"> </v>
      </c>
      <c r="N17" s="566" t="str">
        <f t="shared" si="5"/>
        <v xml:space="preserve"> </v>
      </c>
    </row>
    <row r="18" spans="3:15">
      <c r="C18" s="560" t="s">
        <v>586</v>
      </c>
      <c r="D18" s="561"/>
      <c r="E18" s="562" t="s">
        <v>1020</v>
      </c>
      <c r="F18" s="563"/>
      <c r="G18" s="562" t="s">
        <v>1028</v>
      </c>
      <c r="H18" s="564">
        <v>-200430.64</v>
      </c>
      <c r="I18" s="565" t="s">
        <v>55</v>
      </c>
      <c r="J18" s="566" t="str">
        <f t="shared" si="4"/>
        <v xml:space="preserve"> </v>
      </c>
      <c r="K18" s="527">
        <f t="shared" si="3"/>
        <v>-200430.64</v>
      </c>
      <c r="L18" s="527" t="str">
        <f t="shared" si="0"/>
        <v xml:space="preserve"> </v>
      </c>
      <c r="M18" s="566" t="str">
        <f t="shared" si="1"/>
        <v xml:space="preserve"> </v>
      </c>
      <c r="N18" s="566" t="str">
        <f t="shared" si="5"/>
        <v xml:space="preserve"> </v>
      </c>
    </row>
    <row r="19" spans="3:15">
      <c r="C19" s="560" t="s">
        <v>586</v>
      </c>
      <c r="D19" s="561"/>
      <c r="E19" s="562" t="s">
        <v>1012</v>
      </c>
      <c r="F19" s="563"/>
      <c r="G19" s="562" t="s">
        <v>1010</v>
      </c>
      <c r="H19" s="564">
        <v>-101383.59</v>
      </c>
      <c r="I19" s="565" t="s">
        <v>55</v>
      </c>
      <c r="J19" s="566" t="str">
        <f t="shared" si="4"/>
        <v xml:space="preserve"> </v>
      </c>
      <c r="K19" s="527">
        <f t="shared" si="3"/>
        <v>-101383.59</v>
      </c>
      <c r="L19" s="527" t="str">
        <f t="shared" si="0"/>
        <v xml:space="preserve"> </v>
      </c>
      <c r="M19" s="566" t="str">
        <f t="shared" si="1"/>
        <v xml:space="preserve"> </v>
      </c>
      <c r="N19" s="566" t="str">
        <f t="shared" si="5"/>
        <v xml:space="preserve"> </v>
      </c>
    </row>
    <row r="20" spans="3:15">
      <c r="C20" s="560" t="s">
        <v>586</v>
      </c>
      <c r="D20" s="561"/>
      <c r="E20" s="562" t="s">
        <v>1005</v>
      </c>
      <c r="F20" s="563"/>
      <c r="G20" s="562" t="s">
        <v>1006</v>
      </c>
      <c r="H20" s="564">
        <v>-59022.6</v>
      </c>
      <c r="I20" s="565" t="s">
        <v>55</v>
      </c>
      <c r="J20" s="566" t="str">
        <f t="shared" si="4"/>
        <v xml:space="preserve"> </v>
      </c>
      <c r="K20" s="527">
        <f t="shared" si="3"/>
        <v>-59022.6</v>
      </c>
      <c r="L20" s="527" t="str">
        <f t="shared" si="0"/>
        <v xml:space="preserve"> </v>
      </c>
      <c r="M20" s="566" t="str">
        <f t="shared" si="1"/>
        <v xml:space="preserve"> </v>
      </c>
      <c r="N20" s="566" t="str">
        <f t="shared" si="5"/>
        <v xml:space="preserve"> </v>
      </c>
    </row>
    <row r="21" spans="3:15">
      <c r="C21" s="560" t="s">
        <v>586</v>
      </c>
      <c r="D21" s="561"/>
      <c r="E21" s="562" t="s">
        <v>661</v>
      </c>
      <c r="F21" s="563"/>
      <c r="G21" s="562" t="s">
        <v>961</v>
      </c>
      <c r="H21" s="564">
        <v>-2095039.64</v>
      </c>
      <c r="I21" s="565" t="s">
        <v>299</v>
      </c>
      <c r="J21" s="566" t="str">
        <f t="shared" si="4"/>
        <v xml:space="preserve"> </v>
      </c>
      <c r="K21" s="527" t="str">
        <f t="shared" si="3"/>
        <v xml:space="preserve"> </v>
      </c>
      <c r="L21" s="527" t="str">
        <f t="shared" si="0"/>
        <v xml:space="preserve"> </v>
      </c>
      <c r="M21" s="566" t="str">
        <f t="shared" si="1"/>
        <v xml:space="preserve"> </v>
      </c>
      <c r="N21" s="566">
        <f t="shared" si="5"/>
        <v>-2095039.64</v>
      </c>
    </row>
    <row r="22" spans="3:15">
      <c r="C22" s="560" t="s">
        <v>586</v>
      </c>
      <c r="D22" s="561"/>
      <c r="E22" s="562" t="s">
        <v>662</v>
      </c>
      <c r="F22" s="563"/>
      <c r="G22" s="562" t="s">
        <v>962</v>
      </c>
      <c r="H22" s="564">
        <v>-42488.46</v>
      </c>
      <c r="I22" s="565" t="s">
        <v>55</v>
      </c>
      <c r="J22" s="566" t="str">
        <f t="shared" si="4"/>
        <v xml:space="preserve"> </v>
      </c>
      <c r="K22" s="527">
        <f t="shared" si="3"/>
        <v>-42488.46</v>
      </c>
      <c r="L22" s="527" t="str">
        <f t="shared" si="0"/>
        <v xml:space="preserve"> </v>
      </c>
      <c r="M22" s="566" t="str">
        <f t="shared" si="1"/>
        <v xml:space="preserve"> </v>
      </c>
      <c r="N22" s="566" t="str">
        <f t="shared" si="5"/>
        <v xml:space="preserve"> </v>
      </c>
    </row>
    <row r="23" spans="3:15" ht="13">
      <c r="C23" s="560" t="s">
        <v>586</v>
      </c>
      <c r="D23" s="561"/>
      <c r="E23" s="562" t="s">
        <v>976</v>
      </c>
      <c r="F23" s="563"/>
      <c r="G23" s="562" t="s">
        <v>1007</v>
      </c>
      <c r="H23" s="564">
        <v>-63537523.600000001</v>
      </c>
      <c r="I23" s="565" t="s">
        <v>827</v>
      </c>
      <c r="J23" s="564">
        <f>+'OKT WS C-4 Excess FIT'!E43</f>
        <v>-171530.60000000149</v>
      </c>
      <c r="K23" s="564">
        <f>+'OKT WS C-4 Excess FIT'!E42</f>
        <v>-63365993</v>
      </c>
      <c r="L23" s="527"/>
      <c r="M23" s="566"/>
      <c r="N23" s="566"/>
      <c r="O23" s="567"/>
    </row>
    <row r="24" spans="3:15" ht="13">
      <c r="C24" s="560" t="s">
        <v>586</v>
      </c>
      <c r="D24" s="561"/>
      <c r="E24" s="562" t="s">
        <v>976</v>
      </c>
      <c r="F24" s="563"/>
      <c r="G24" s="562" t="s">
        <v>1008</v>
      </c>
      <c r="H24" s="564">
        <v>-1268932.3400000001</v>
      </c>
      <c r="I24" s="565" t="s">
        <v>827</v>
      </c>
      <c r="J24" s="564">
        <f>+'OKT WS C-4 Excess FIT'!F27</f>
        <v>4.6753926160745323</v>
      </c>
      <c r="K24" s="564">
        <f>+'OKT WS C-4 Excess FIT'!F26</f>
        <v>-1268937.0153926162</v>
      </c>
      <c r="L24" s="527"/>
      <c r="M24" s="566"/>
      <c r="N24" s="566"/>
      <c r="O24" s="567"/>
    </row>
    <row r="25" spans="3:15" ht="13">
      <c r="C25" s="568"/>
      <c r="D25" s="569"/>
      <c r="E25" s="562"/>
      <c r="G25" s="562"/>
      <c r="H25" s="564"/>
      <c r="I25" s="570"/>
      <c r="J25" s="564"/>
      <c r="K25" s="564"/>
      <c r="L25" s="564"/>
      <c r="M25" s="564"/>
      <c r="N25" s="564"/>
      <c r="O25" s="567"/>
    </row>
    <row r="26" spans="3:15" ht="13">
      <c r="C26" s="568"/>
      <c r="D26" s="569"/>
      <c r="E26" s="562"/>
      <c r="G26" s="571"/>
      <c r="H26" s="572"/>
      <c r="I26" s="570"/>
      <c r="J26" s="566" t="str">
        <f t="shared" ref="J26:J27" si="6">IF(I26="e",H26," ")</f>
        <v xml:space="preserve"> </v>
      </c>
      <c r="K26" s="527" t="str">
        <f t="shared" si="3"/>
        <v xml:space="preserve"> </v>
      </c>
      <c r="L26" s="527" t="str">
        <f t="shared" si="0"/>
        <v xml:space="preserve"> </v>
      </c>
      <c r="M26" s="566" t="str">
        <f t="shared" si="1"/>
        <v xml:space="preserve"> </v>
      </c>
      <c r="N26" s="566" t="str">
        <f t="shared" ref="N26:N27" si="7">IF(I26="Labor",H26," ")</f>
        <v xml:space="preserve"> </v>
      </c>
      <c r="O26" s="567"/>
    </row>
    <row r="27" spans="3:15" ht="13">
      <c r="C27" s="573"/>
      <c r="D27" s="574"/>
      <c r="E27" s="562"/>
      <c r="G27" s="573"/>
      <c r="H27" s="575"/>
      <c r="I27" s="576"/>
      <c r="J27" s="566" t="str">
        <f t="shared" si="6"/>
        <v xml:space="preserve"> </v>
      </c>
      <c r="K27" s="527" t="str">
        <f t="shared" si="3"/>
        <v xml:space="preserve"> </v>
      </c>
      <c r="L27" s="527" t="str">
        <f t="shared" si="0"/>
        <v xml:space="preserve"> </v>
      </c>
      <c r="M27" s="566" t="str">
        <f t="shared" si="1"/>
        <v xml:space="preserve"> </v>
      </c>
      <c r="N27" s="566" t="str">
        <f t="shared" si="7"/>
        <v xml:space="preserve"> </v>
      </c>
      <c r="O27" s="567"/>
    </row>
    <row r="28" spans="3:15" ht="13">
      <c r="C28" s="557">
        <v>282.10000000000002</v>
      </c>
      <c r="D28" s="497"/>
      <c r="E28" s="577"/>
      <c r="G28" s="578" t="s">
        <v>158</v>
      </c>
      <c r="H28" s="579">
        <f>SUM(H10:H27)</f>
        <v>-176345237.04000002</v>
      </c>
      <c r="I28" s="527"/>
      <c r="J28" s="579">
        <f>SUM(J10:J27)</f>
        <v>-12140107.532823775</v>
      </c>
      <c r="K28" s="579">
        <f>SUM(K10:K27)</f>
        <v>-162110089.8671762</v>
      </c>
      <c r="L28" s="579">
        <f>SUM(L10:L27)</f>
        <v>0</v>
      </c>
      <c r="M28" s="579">
        <f>SUM(M10:M27)</f>
        <v>0</v>
      </c>
      <c r="N28" s="579">
        <f>SUM(N10:N27)</f>
        <v>-2095039.64</v>
      </c>
      <c r="O28" s="567"/>
    </row>
    <row r="29" spans="3:15" ht="25">
      <c r="E29" s="577"/>
      <c r="G29" s="580" t="s">
        <v>168</v>
      </c>
      <c r="H29" s="572">
        <v>-176345237</v>
      </c>
      <c r="I29" s="527"/>
      <c r="J29" s="581"/>
      <c r="K29" s="527"/>
      <c r="L29" s="527"/>
      <c r="M29" s="527"/>
      <c r="N29" s="527"/>
    </row>
    <row r="30" spans="3:15">
      <c r="E30" s="577"/>
      <c r="H30" s="582"/>
      <c r="I30" s="527"/>
      <c r="J30" s="527"/>
      <c r="K30" s="527"/>
      <c r="L30" s="527"/>
      <c r="M30" s="527"/>
      <c r="N30" s="527"/>
    </row>
    <row r="31" spans="3:15">
      <c r="E31" s="577"/>
      <c r="H31" s="582"/>
      <c r="I31" s="527"/>
      <c r="J31" s="527"/>
      <c r="K31" s="527"/>
      <c r="L31" s="527"/>
      <c r="M31" s="527"/>
      <c r="N31" s="527"/>
    </row>
    <row r="32" spans="3:15">
      <c r="C32" s="560" t="s">
        <v>587</v>
      </c>
      <c r="D32" s="583" t="s">
        <v>336</v>
      </c>
      <c r="E32" s="584" t="s">
        <v>663</v>
      </c>
      <c r="F32" s="563"/>
      <c r="G32" s="562" t="s">
        <v>963</v>
      </c>
      <c r="H32" s="564">
        <v>180339.76</v>
      </c>
      <c r="I32" s="565" t="s">
        <v>290</v>
      </c>
      <c r="J32" s="566">
        <f t="shared" ref="J32:J34" si="8">IF(I32="e",H32," ")</f>
        <v>180339.76</v>
      </c>
      <c r="K32" s="527" t="str">
        <f t="shared" ref="K32:K38" si="9">IF($I32="T",$H32," ")</f>
        <v xml:space="preserve"> </v>
      </c>
      <c r="L32" s="527" t="str">
        <f t="shared" ref="L32:L38" si="10">IF($I32="PTD",$H32," ")</f>
        <v xml:space="preserve"> </v>
      </c>
      <c r="M32" s="566" t="str">
        <f t="shared" ref="M32:M38" si="11">IF($I32="T&amp;D",$H32," ")</f>
        <v xml:space="preserve"> </v>
      </c>
      <c r="N32" s="566" t="str">
        <f t="shared" ref="N32:N34" si="12">IF(I32="Labor",H32," ")</f>
        <v xml:space="preserve"> </v>
      </c>
    </row>
    <row r="33" spans="3:15">
      <c r="C33" s="560" t="s">
        <v>587</v>
      </c>
      <c r="D33" s="583"/>
      <c r="E33" s="584" t="s">
        <v>1084</v>
      </c>
      <c r="F33" s="563"/>
      <c r="G33" s="562" t="s">
        <v>1085</v>
      </c>
      <c r="H33" s="564">
        <v>-3394812.25</v>
      </c>
      <c r="I33" s="565" t="s">
        <v>290</v>
      </c>
      <c r="J33" s="566">
        <f t="shared" si="8"/>
        <v>-3394812.25</v>
      </c>
      <c r="K33" s="527"/>
      <c r="L33" s="527"/>
      <c r="M33" s="566"/>
      <c r="N33" s="566"/>
    </row>
    <row r="34" spans="3:15">
      <c r="C34" s="560" t="s">
        <v>587</v>
      </c>
      <c r="D34" s="583" t="s">
        <v>336</v>
      </c>
      <c r="E34" s="584" t="s">
        <v>964</v>
      </c>
      <c r="F34" s="563"/>
      <c r="G34" s="562" t="s">
        <v>965</v>
      </c>
      <c r="H34" s="564">
        <v>-0.01</v>
      </c>
      <c r="I34" s="565" t="s">
        <v>290</v>
      </c>
      <c r="J34" s="566">
        <f t="shared" si="8"/>
        <v>-0.01</v>
      </c>
      <c r="K34" s="527" t="str">
        <f t="shared" si="9"/>
        <v xml:space="preserve"> </v>
      </c>
      <c r="L34" s="527" t="str">
        <f t="shared" si="10"/>
        <v xml:space="preserve"> </v>
      </c>
      <c r="M34" s="566" t="str">
        <f t="shared" si="11"/>
        <v xml:space="preserve"> </v>
      </c>
      <c r="N34" s="566" t="str">
        <f t="shared" si="12"/>
        <v xml:space="preserve"> </v>
      </c>
    </row>
    <row r="35" spans="3:15">
      <c r="C35" s="585">
        <v>2831001</v>
      </c>
      <c r="D35" s="159"/>
      <c r="E35" s="584" t="s">
        <v>976</v>
      </c>
      <c r="F35" s="132"/>
      <c r="G35" s="562" t="s">
        <v>1068</v>
      </c>
      <c r="H35" s="564">
        <v>4601952.76</v>
      </c>
      <c r="I35" s="565" t="s">
        <v>827</v>
      </c>
      <c r="J35" s="564">
        <f>+'OKT WS C-4 Excess FIT'!G27</f>
        <v>870372.14460738376</v>
      </c>
      <c r="K35" s="564">
        <f>+'OKT WS C-4 Excess FIT'!G26</f>
        <v>3731580.615392616</v>
      </c>
      <c r="L35" s="527" t="str">
        <f t="shared" si="10"/>
        <v xml:space="preserve"> </v>
      </c>
      <c r="M35" s="566" t="str">
        <f t="shared" si="11"/>
        <v xml:space="preserve"> </v>
      </c>
      <c r="N35" s="566" t="str">
        <f t="shared" ref="N35:N38" si="13">IF(I35="Labor",H35," ")</f>
        <v xml:space="preserve"> </v>
      </c>
    </row>
    <row r="36" spans="3:15">
      <c r="C36" s="586"/>
      <c r="D36" s="587"/>
      <c r="E36" s="588"/>
      <c r="F36" s="138"/>
      <c r="G36" s="563"/>
      <c r="H36" s="589"/>
      <c r="I36" s="590"/>
      <c r="J36" s="566"/>
      <c r="K36" s="527"/>
      <c r="L36" s="527"/>
      <c r="M36" s="566"/>
      <c r="N36" s="566"/>
    </row>
    <row r="37" spans="3:15">
      <c r="C37" s="584">
        <v>2831002</v>
      </c>
      <c r="D37" s="138" t="s">
        <v>336</v>
      </c>
      <c r="E37" s="584" t="s">
        <v>977</v>
      </c>
      <c r="F37" s="563"/>
      <c r="G37" s="562" t="s">
        <v>1011</v>
      </c>
      <c r="H37" s="564">
        <v>-32264997.68</v>
      </c>
      <c r="I37" s="565" t="s">
        <v>55</v>
      </c>
      <c r="J37" s="566" t="str">
        <f t="shared" ref="J37:J38" si="14">IF(I37="e",H37," ")</f>
        <v xml:space="preserve"> </v>
      </c>
      <c r="K37" s="527">
        <f t="shared" si="9"/>
        <v>-32264997.68</v>
      </c>
      <c r="L37" s="527" t="str">
        <f t="shared" si="10"/>
        <v xml:space="preserve"> </v>
      </c>
      <c r="M37" s="566" t="str">
        <f t="shared" si="11"/>
        <v xml:space="preserve"> </v>
      </c>
      <c r="N37" s="566" t="str">
        <f t="shared" si="13"/>
        <v xml:space="preserve"> </v>
      </c>
    </row>
    <row r="38" spans="3:15">
      <c r="C38" s="571"/>
      <c r="D38" s="569"/>
      <c r="E38" s="571"/>
      <c r="G38" s="571"/>
      <c r="H38" s="572"/>
      <c r="I38" s="570"/>
      <c r="J38" s="566" t="str">
        <f t="shared" si="14"/>
        <v xml:space="preserve"> </v>
      </c>
      <c r="K38" s="527" t="str">
        <f t="shared" si="9"/>
        <v xml:space="preserve"> </v>
      </c>
      <c r="L38" s="527" t="str">
        <f t="shared" si="10"/>
        <v xml:space="preserve"> </v>
      </c>
      <c r="M38" s="566" t="str">
        <f t="shared" si="11"/>
        <v xml:space="preserve"> </v>
      </c>
      <c r="N38" s="566" t="str">
        <f t="shared" si="13"/>
        <v xml:space="preserve"> </v>
      </c>
    </row>
    <row r="39" spans="3:15">
      <c r="C39" s="571"/>
      <c r="D39" s="569"/>
      <c r="E39" s="571"/>
      <c r="G39" s="562"/>
      <c r="H39" s="564"/>
      <c r="I39" s="565"/>
      <c r="J39" s="564"/>
      <c r="K39" s="564"/>
      <c r="L39" s="564"/>
      <c r="M39" s="564"/>
      <c r="N39" s="564"/>
    </row>
    <row r="40" spans="3:15">
      <c r="D40" s="497"/>
      <c r="E40" s="577"/>
      <c r="H40" s="527"/>
      <c r="I40" s="527"/>
      <c r="J40" s="582" t="str">
        <f>IF(I40="e",H40," ")</f>
        <v xml:space="preserve"> </v>
      </c>
      <c r="K40" s="582"/>
      <c r="L40" s="582" t="str">
        <f>IF($I40="PTD",$H40," ")</f>
        <v xml:space="preserve"> </v>
      </c>
      <c r="M40" s="582" t="str">
        <f>IF($I40="T&amp;D",$H40," ")</f>
        <v xml:space="preserve"> </v>
      </c>
      <c r="N40" s="582" t="str">
        <f>IF(I40="Labor",H40," ")</f>
        <v xml:space="preserve"> </v>
      </c>
    </row>
    <row r="41" spans="3:15" ht="13">
      <c r="C41" s="557">
        <v>283.10000000000002</v>
      </c>
      <c r="D41" s="497"/>
      <c r="E41" s="577"/>
      <c r="G41" s="578" t="s">
        <v>158</v>
      </c>
      <c r="H41" s="591">
        <f>SUM(H32:H40)</f>
        <v>-30877517.420000002</v>
      </c>
      <c r="I41" s="527"/>
      <c r="J41" s="591">
        <f>SUM(J32:J40)</f>
        <v>-2344100.3553926162</v>
      </c>
      <c r="K41" s="591">
        <f>SUM(K32:K40)</f>
        <v>-28533417.064607382</v>
      </c>
      <c r="L41" s="591">
        <f>SUM(L32:L40)</f>
        <v>0</v>
      </c>
      <c r="M41" s="591">
        <f>SUM(M32:M40)</f>
        <v>0</v>
      </c>
      <c r="N41" s="591">
        <f>SUM(N32:N40)</f>
        <v>0</v>
      </c>
      <c r="O41" s="567"/>
    </row>
    <row r="42" spans="3:15" ht="25.5" customHeight="1">
      <c r="C42" s="592"/>
      <c r="D42" s="497"/>
      <c r="E42" s="577"/>
      <c r="G42" s="580" t="s">
        <v>111</v>
      </c>
      <c r="H42" s="1968">
        <v>-30877517</v>
      </c>
      <c r="I42" s="527"/>
      <c r="J42" s="581"/>
      <c r="K42" s="593"/>
      <c r="L42" s="593"/>
      <c r="M42" s="593"/>
      <c r="N42" s="593"/>
    </row>
    <row r="43" spans="3:15">
      <c r="E43" s="577"/>
      <c r="G43" s="594"/>
      <c r="H43" s="582"/>
      <c r="I43" s="527"/>
      <c r="J43" s="527"/>
      <c r="K43" s="527"/>
      <c r="L43" s="527"/>
      <c r="M43" s="527"/>
      <c r="N43" s="527"/>
    </row>
    <row r="44" spans="3:15">
      <c r="E44" s="577"/>
      <c r="H44" s="582"/>
      <c r="I44" s="527"/>
      <c r="J44" s="527"/>
      <c r="K44" s="527"/>
      <c r="L44" s="527"/>
      <c r="M44" s="527"/>
      <c r="N44" s="527"/>
    </row>
    <row r="45" spans="3:15">
      <c r="C45" s="560" t="s">
        <v>588</v>
      </c>
      <c r="D45" s="595" t="s">
        <v>336</v>
      </c>
      <c r="E45" s="584" t="s">
        <v>966</v>
      </c>
      <c r="F45" s="563"/>
      <c r="G45" s="562" t="s">
        <v>967</v>
      </c>
      <c r="H45" s="564">
        <v>14097.02</v>
      </c>
      <c r="I45" s="565" t="s">
        <v>290</v>
      </c>
      <c r="J45" s="566">
        <f t="shared" ref="J45:J60" si="15">IF(I45="e",H45," ")</f>
        <v>14097.02</v>
      </c>
      <c r="K45" s="527" t="str">
        <f t="shared" ref="K45:K60" si="16">IF($I45="T",$H45," ")</f>
        <v xml:space="preserve"> </v>
      </c>
      <c r="L45" s="527" t="str">
        <f t="shared" ref="L45:L60" si="17">IF($I45="PTD",$H45," ")</f>
        <v xml:space="preserve"> </v>
      </c>
      <c r="M45" s="566" t="str">
        <f t="shared" ref="M45:M60" si="18">IF($I45="T&amp;D",$H45," ")</f>
        <v xml:space="preserve"> </v>
      </c>
      <c r="N45" s="566" t="str">
        <f t="shared" ref="N45:N60" si="19">IF(I45="Labor",H45," ")</f>
        <v xml:space="preserve"> </v>
      </c>
    </row>
    <row r="46" spans="3:15">
      <c r="C46" s="560" t="s">
        <v>588</v>
      </c>
      <c r="D46" s="595" t="s">
        <v>336</v>
      </c>
      <c r="E46" s="584" t="s">
        <v>968</v>
      </c>
      <c r="F46" s="563"/>
      <c r="G46" s="562" t="s">
        <v>969</v>
      </c>
      <c r="H46" s="564">
        <v>612</v>
      </c>
      <c r="I46" s="565" t="s">
        <v>290</v>
      </c>
      <c r="J46" s="566">
        <f t="shared" ref="J46:J54" si="20">IF(I46="e",H46," ")</f>
        <v>612</v>
      </c>
      <c r="K46" s="527" t="str">
        <f t="shared" si="16"/>
        <v xml:space="preserve"> </v>
      </c>
      <c r="L46" s="527" t="str">
        <f t="shared" si="17"/>
        <v xml:space="preserve"> </v>
      </c>
      <c r="M46" s="566" t="str">
        <f t="shared" si="18"/>
        <v xml:space="preserve"> </v>
      </c>
      <c r="N46" s="566" t="str">
        <f t="shared" ref="N46:N54" si="21">IF(I46="Labor",H46," ")</f>
        <v xml:space="preserve"> </v>
      </c>
    </row>
    <row r="47" spans="3:15">
      <c r="C47" s="560" t="s">
        <v>588</v>
      </c>
      <c r="D47" s="595"/>
      <c r="E47" s="584" t="s">
        <v>980</v>
      </c>
      <c r="F47" s="563"/>
      <c r="G47" s="562" t="s">
        <v>1016</v>
      </c>
      <c r="H47" s="564">
        <v>2304051.38</v>
      </c>
      <c r="I47" s="565" t="s">
        <v>55</v>
      </c>
      <c r="J47" s="566" t="str">
        <f t="shared" si="20"/>
        <v xml:space="preserve"> </v>
      </c>
      <c r="K47" s="527">
        <f t="shared" si="16"/>
        <v>2304051.38</v>
      </c>
      <c r="L47" s="527" t="str">
        <f t="shared" si="17"/>
        <v xml:space="preserve"> </v>
      </c>
      <c r="M47" s="566" t="str">
        <f t="shared" si="18"/>
        <v xml:space="preserve"> </v>
      </c>
      <c r="N47" s="566" t="str">
        <f t="shared" si="21"/>
        <v xml:space="preserve"> </v>
      </c>
    </row>
    <row r="48" spans="3:15">
      <c r="C48" s="560" t="s">
        <v>588</v>
      </c>
      <c r="D48" s="595"/>
      <c r="E48" s="584" t="s">
        <v>1014</v>
      </c>
      <c r="F48" s="563"/>
      <c r="G48" s="562" t="s">
        <v>1017</v>
      </c>
      <c r="H48" s="564">
        <v>0</v>
      </c>
      <c r="I48" s="565" t="s">
        <v>55</v>
      </c>
      <c r="J48" s="566" t="str">
        <f t="shared" si="20"/>
        <v xml:space="preserve"> </v>
      </c>
      <c r="K48" s="527">
        <f t="shared" si="16"/>
        <v>0</v>
      </c>
      <c r="L48" s="527" t="str">
        <f t="shared" si="17"/>
        <v xml:space="preserve"> </v>
      </c>
      <c r="M48" s="566" t="str">
        <f t="shared" si="18"/>
        <v xml:space="preserve"> </v>
      </c>
      <c r="N48" s="566" t="str">
        <f t="shared" si="21"/>
        <v xml:space="preserve"> </v>
      </c>
    </row>
    <row r="49" spans="3:15">
      <c r="C49" s="560" t="s">
        <v>588</v>
      </c>
      <c r="D49" s="595"/>
      <c r="E49" s="584" t="s">
        <v>1015</v>
      </c>
      <c r="F49" s="563"/>
      <c r="G49" s="562" t="s">
        <v>1018</v>
      </c>
      <c r="H49" s="564">
        <v>0</v>
      </c>
      <c r="I49" s="565" t="s">
        <v>55</v>
      </c>
      <c r="J49" s="566" t="str">
        <f t="shared" si="20"/>
        <v xml:space="preserve"> </v>
      </c>
      <c r="K49" s="527">
        <f t="shared" si="16"/>
        <v>0</v>
      </c>
      <c r="L49" s="527" t="str">
        <f t="shared" si="17"/>
        <v xml:space="preserve"> </v>
      </c>
      <c r="M49" s="566" t="str">
        <f t="shared" si="18"/>
        <v xml:space="preserve"> </v>
      </c>
      <c r="N49" s="566" t="str">
        <f t="shared" si="21"/>
        <v xml:space="preserve"> </v>
      </c>
    </row>
    <row r="50" spans="3:15">
      <c r="C50" s="560" t="s">
        <v>588</v>
      </c>
      <c r="D50" s="595" t="s">
        <v>336</v>
      </c>
      <c r="E50" s="584" t="s">
        <v>970</v>
      </c>
      <c r="F50" s="563"/>
      <c r="G50" s="562" t="s">
        <v>971</v>
      </c>
      <c r="H50" s="564">
        <v>17967.009999999998</v>
      </c>
      <c r="I50" s="565" t="s">
        <v>299</v>
      </c>
      <c r="J50" s="566" t="str">
        <f t="shared" si="20"/>
        <v xml:space="preserve"> </v>
      </c>
      <c r="K50" s="527" t="str">
        <f t="shared" si="16"/>
        <v xml:space="preserve"> </v>
      </c>
      <c r="L50" s="527" t="str">
        <f t="shared" si="17"/>
        <v xml:space="preserve"> </v>
      </c>
      <c r="M50" s="566" t="str">
        <f t="shared" si="18"/>
        <v xml:space="preserve"> </v>
      </c>
      <c r="N50" s="566">
        <f t="shared" si="21"/>
        <v>17967.009999999998</v>
      </c>
    </row>
    <row r="51" spans="3:15">
      <c r="C51" s="560" t="s">
        <v>588</v>
      </c>
      <c r="D51" s="595" t="s">
        <v>336</v>
      </c>
      <c r="E51" s="584" t="s">
        <v>1013</v>
      </c>
      <c r="F51" s="563"/>
      <c r="G51" s="562" t="s">
        <v>1026</v>
      </c>
      <c r="H51" s="564">
        <v>0</v>
      </c>
      <c r="I51" s="565" t="s">
        <v>290</v>
      </c>
      <c r="J51" s="566">
        <f t="shared" si="20"/>
        <v>0</v>
      </c>
      <c r="K51" s="527" t="str">
        <f t="shared" si="16"/>
        <v xml:space="preserve"> </v>
      </c>
      <c r="L51" s="527" t="str">
        <f t="shared" si="17"/>
        <v xml:space="preserve"> </v>
      </c>
      <c r="M51" s="566" t="str">
        <f t="shared" si="18"/>
        <v xml:space="preserve"> </v>
      </c>
      <c r="N51" s="566" t="str">
        <f t="shared" si="21"/>
        <v xml:space="preserve"> </v>
      </c>
    </row>
    <row r="52" spans="3:15">
      <c r="C52" s="560" t="s">
        <v>588</v>
      </c>
      <c r="D52" s="595" t="s">
        <v>336</v>
      </c>
      <c r="E52" s="584" t="s">
        <v>664</v>
      </c>
      <c r="F52" s="563"/>
      <c r="G52" s="562" t="s">
        <v>665</v>
      </c>
      <c r="H52" s="564">
        <v>6775649.5099999998</v>
      </c>
      <c r="I52" s="565" t="s">
        <v>55</v>
      </c>
      <c r="J52" s="566" t="str">
        <f t="shared" si="20"/>
        <v xml:space="preserve"> </v>
      </c>
      <c r="K52" s="527">
        <f t="shared" si="16"/>
        <v>6775649.5099999998</v>
      </c>
      <c r="L52" s="527" t="str">
        <f t="shared" si="17"/>
        <v xml:space="preserve"> </v>
      </c>
      <c r="M52" s="566" t="str">
        <f t="shared" si="18"/>
        <v xml:space="preserve"> </v>
      </c>
      <c r="N52" s="566" t="str">
        <f t="shared" si="21"/>
        <v xml:space="preserve"> </v>
      </c>
    </row>
    <row r="53" spans="3:15">
      <c r="C53" s="560" t="s">
        <v>588</v>
      </c>
      <c r="D53" s="595" t="s">
        <v>336</v>
      </c>
      <c r="E53" s="584" t="s">
        <v>972</v>
      </c>
      <c r="F53" s="563"/>
      <c r="G53" s="562" t="s">
        <v>973</v>
      </c>
      <c r="H53" s="564">
        <v>4006.4</v>
      </c>
      <c r="I53" s="565" t="s">
        <v>290</v>
      </c>
      <c r="J53" s="566">
        <f t="shared" si="20"/>
        <v>4006.4</v>
      </c>
      <c r="K53" s="527" t="str">
        <f t="shared" si="16"/>
        <v xml:space="preserve"> </v>
      </c>
      <c r="L53" s="527" t="str">
        <f t="shared" si="17"/>
        <v xml:space="preserve"> </v>
      </c>
      <c r="M53" s="566" t="str">
        <f t="shared" si="18"/>
        <v xml:space="preserve"> </v>
      </c>
      <c r="N53" s="566" t="str">
        <f t="shared" si="21"/>
        <v xml:space="preserve"> </v>
      </c>
    </row>
    <row r="54" spans="3:15">
      <c r="C54" s="560" t="s">
        <v>588</v>
      </c>
      <c r="D54" s="595" t="s">
        <v>336</v>
      </c>
      <c r="E54" s="584" t="s">
        <v>974</v>
      </c>
      <c r="F54" s="563"/>
      <c r="G54" s="562" t="s">
        <v>975</v>
      </c>
      <c r="H54" s="564">
        <v>0</v>
      </c>
      <c r="I54" s="565" t="s">
        <v>290</v>
      </c>
      <c r="J54" s="566">
        <f t="shared" si="20"/>
        <v>0</v>
      </c>
      <c r="K54" s="527" t="str">
        <f t="shared" si="16"/>
        <v xml:space="preserve"> </v>
      </c>
      <c r="L54" s="527" t="str">
        <f t="shared" si="17"/>
        <v xml:space="preserve"> </v>
      </c>
      <c r="M54" s="566" t="str">
        <f t="shared" si="18"/>
        <v xml:space="preserve"> </v>
      </c>
      <c r="N54" s="566" t="str">
        <f t="shared" si="21"/>
        <v xml:space="preserve"> </v>
      </c>
    </row>
    <row r="55" spans="3:15">
      <c r="C55" s="132"/>
      <c r="D55" s="132"/>
      <c r="E55" s="588"/>
      <c r="F55" s="563"/>
      <c r="G55" s="563"/>
      <c r="H55" s="589"/>
      <c r="I55" s="596"/>
      <c r="J55" s="566" t="str">
        <f t="shared" si="15"/>
        <v xml:space="preserve"> </v>
      </c>
      <c r="K55" s="527" t="str">
        <f t="shared" si="16"/>
        <v xml:space="preserve"> </v>
      </c>
      <c r="L55" s="527" t="str">
        <f t="shared" si="17"/>
        <v xml:space="preserve"> </v>
      </c>
      <c r="M55" s="566" t="str">
        <f t="shared" si="18"/>
        <v xml:space="preserve"> </v>
      </c>
      <c r="N55" s="566" t="str">
        <f t="shared" si="19"/>
        <v xml:space="preserve"> </v>
      </c>
    </row>
    <row r="56" spans="3:15">
      <c r="C56" s="585">
        <v>1901002</v>
      </c>
      <c r="D56" s="132"/>
      <c r="E56" s="584" t="s">
        <v>663</v>
      </c>
      <c r="F56" s="563"/>
      <c r="G56" s="562" t="s">
        <v>963</v>
      </c>
      <c r="H56" s="564">
        <v>-858756.06</v>
      </c>
      <c r="I56" s="565" t="s">
        <v>290</v>
      </c>
      <c r="J56" s="566">
        <f t="shared" si="15"/>
        <v>-858756.06</v>
      </c>
      <c r="K56" s="527" t="str">
        <f t="shared" si="16"/>
        <v xml:space="preserve"> </v>
      </c>
      <c r="L56" s="527" t="str">
        <f t="shared" si="17"/>
        <v xml:space="preserve"> </v>
      </c>
      <c r="M56" s="566" t="str">
        <f t="shared" si="18"/>
        <v xml:space="preserve"> </v>
      </c>
      <c r="N56" s="566" t="str">
        <f t="shared" si="19"/>
        <v xml:space="preserve"> </v>
      </c>
    </row>
    <row r="57" spans="3:15">
      <c r="C57" s="585">
        <v>1901002</v>
      </c>
      <c r="D57" s="595"/>
      <c r="E57" s="584" t="s">
        <v>1084</v>
      </c>
      <c r="F57" s="563"/>
      <c r="G57" s="562" t="s">
        <v>1085</v>
      </c>
      <c r="H57" s="564">
        <v>16165772.640000001</v>
      </c>
      <c r="I57" s="565" t="s">
        <v>290</v>
      </c>
      <c r="J57" s="566">
        <f t="shared" si="15"/>
        <v>16165772.640000001</v>
      </c>
      <c r="K57" s="527" t="str">
        <f t="shared" si="16"/>
        <v xml:space="preserve"> </v>
      </c>
      <c r="L57" s="527" t="str">
        <f t="shared" si="17"/>
        <v xml:space="preserve"> </v>
      </c>
      <c r="M57" s="566" t="str">
        <f t="shared" si="18"/>
        <v xml:space="preserve"> </v>
      </c>
      <c r="N57" s="566" t="str">
        <f t="shared" si="19"/>
        <v xml:space="preserve"> </v>
      </c>
    </row>
    <row r="58" spans="3:15">
      <c r="C58" s="571"/>
      <c r="D58" s="569"/>
      <c r="E58" s="571"/>
      <c r="F58" s="560"/>
      <c r="G58" s="571"/>
      <c r="H58" s="572"/>
      <c r="I58" s="570"/>
      <c r="J58" s="566" t="str">
        <f t="shared" si="15"/>
        <v xml:space="preserve"> </v>
      </c>
      <c r="K58" s="527" t="str">
        <f t="shared" si="16"/>
        <v xml:space="preserve"> </v>
      </c>
      <c r="L58" s="527" t="str">
        <f t="shared" si="17"/>
        <v xml:space="preserve"> </v>
      </c>
      <c r="M58" s="566" t="str">
        <f t="shared" si="18"/>
        <v xml:space="preserve"> </v>
      </c>
      <c r="N58" s="566" t="str">
        <f t="shared" si="19"/>
        <v xml:space="preserve"> </v>
      </c>
    </row>
    <row r="59" spans="3:15">
      <c r="C59" s="571"/>
      <c r="D59" s="569"/>
      <c r="E59" s="571"/>
      <c r="F59" s="560"/>
      <c r="G59" s="560"/>
      <c r="H59" s="446"/>
      <c r="I59" s="565"/>
      <c r="J59" s="564"/>
      <c r="K59" s="564"/>
      <c r="L59" s="564"/>
      <c r="M59" s="564"/>
      <c r="N59" s="564"/>
    </row>
    <row r="60" spans="3:15">
      <c r="C60" s="571"/>
      <c r="D60" s="569"/>
      <c r="E60" s="571"/>
      <c r="F60" s="560"/>
      <c r="G60" s="571"/>
      <c r="H60" s="572"/>
      <c r="I60" s="570"/>
      <c r="J60" s="566" t="str">
        <f t="shared" si="15"/>
        <v xml:space="preserve"> </v>
      </c>
      <c r="K60" s="527" t="str">
        <f t="shared" si="16"/>
        <v xml:space="preserve"> </v>
      </c>
      <c r="L60" s="527" t="str">
        <f t="shared" si="17"/>
        <v xml:space="preserve"> </v>
      </c>
      <c r="M60" s="566" t="str">
        <f t="shared" si="18"/>
        <v xml:space="preserve"> </v>
      </c>
      <c r="N60" s="566" t="str">
        <f t="shared" si="19"/>
        <v xml:space="preserve"> </v>
      </c>
    </row>
    <row r="61" spans="3:15">
      <c r="C61" s="597"/>
      <c r="J61" s="594"/>
    </row>
    <row r="62" spans="3:15" ht="13">
      <c r="C62" s="557">
        <v>190.1</v>
      </c>
      <c r="D62" s="497"/>
      <c r="G62" s="578" t="s">
        <v>158</v>
      </c>
      <c r="H62" s="591">
        <f>SUM(H45:H61)</f>
        <v>24423399.899999999</v>
      </c>
      <c r="I62" s="527"/>
      <c r="J62" s="591">
        <f>SUM(J45:J61)</f>
        <v>15325732</v>
      </c>
      <c r="K62" s="591">
        <f>SUM(K45:K61)</f>
        <v>9079700.8900000006</v>
      </c>
      <c r="L62" s="591">
        <f>SUM(L45:L61)</f>
        <v>0</v>
      </c>
      <c r="M62" s="591">
        <f>SUM(M45:M61)</f>
        <v>0</v>
      </c>
      <c r="N62" s="591">
        <f>SUM(N45:N61)</f>
        <v>17967.009999999998</v>
      </c>
      <c r="O62" s="567"/>
    </row>
    <row r="63" spans="3:15">
      <c r="G63" s="580" t="s">
        <v>127</v>
      </c>
      <c r="H63" s="572">
        <v>24423400</v>
      </c>
      <c r="J63" s="581"/>
    </row>
    <row r="64" spans="3:15">
      <c r="G64" s="580"/>
      <c r="H64" s="598"/>
    </row>
    <row r="65" spans="3:14" ht="33" customHeight="1">
      <c r="C65" s="2005"/>
      <c r="D65" s="2005"/>
      <c r="E65" s="2005"/>
      <c r="F65" s="2005"/>
      <c r="G65" s="2005"/>
      <c r="H65" s="2005"/>
      <c r="I65" s="2005"/>
      <c r="J65" s="2005"/>
      <c r="K65" s="2005"/>
      <c r="L65" s="2005"/>
      <c r="M65" s="2005"/>
      <c r="N65" s="2005"/>
    </row>
    <row r="78" spans="3:14">
      <c r="C78" s="599"/>
      <c r="D78" s="574"/>
      <c r="E78" s="599"/>
      <c r="G78" s="599"/>
      <c r="H78" s="600"/>
    </row>
    <row r="114" spans="3:6">
      <c r="C114" s="599"/>
      <c r="D114" s="599"/>
      <c r="E114" s="599"/>
      <c r="F114" s="552"/>
    </row>
    <row r="115" spans="3:6">
      <c r="C115" s="599"/>
      <c r="D115" s="599"/>
      <c r="E115" s="599"/>
    </row>
    <row r="116" spans="3:6">
      <c r="C116" s="599"/>
      <c r="D116" s="599"/>
      <c r="E116" s="599"/>
    </row>
    <row r="117" spans="3:6">
      <c r="C117" s="599"/>
      <c r="D117" s="599"/>
      <c r="E117" s="599"/>
    </row>
    <row r="118" spans="3:6">
      <c r="C118" s="599"/>
      <c r="D118" s="599"/>
      <c r="E118" s="599"/>
    </row>
    <row r="119" spans="3:6">
      <c r="C119" s="599"/>
      <c r="D119" s="599"/>
      <c r="E119" s="599"/>
    </row>
    <row r="120" spans="3:6">
      <c r="C120" s="599"/>
      <c r="D120" s="599"/>
      <c r="E120" s="599"/>
    </row>
    <row r="121" spans="3:6">
      <c r="C121" s="599"/>
      <c r="D121" s="599"/>
      <c r="E121" s="599"/>
    </row>
    <row r="122" spans="3:6">
      <c r="C122" s="599"/>
      <c r="D122" s="599"/>
      <c r="E122" s="599"/>
    </row>
    <row r="123" spans="3:6">
      <c r="C123" s="599"/>
      <c r="D123" s="599"/>
      <c r="E123" s="599"/>
    </row>
    <row r="124" spans="3:6">
      <c r="C124" s="599"/>
      <c r="D124" s="599"/>
      <c r="E124" s="599"/>
    </row>
    <row r="125" spans="3:6">
      <c r="C125" s="599"/>
      <c r="D125" s="599"/>
      <c r="E125" s="599"/>
    </row>
    <row r="126" spans="3:6">
      <c r="C126" s="599"/>
      <c r="D126" s="599"/>
      <c r="E126" s="599"/>
    </row>
    <row r="127" spans="3:6">
      <c r="C127" s="599"/>
      <c r="D127" s="599"/>
      <c r="E127" s="599"/>
    </row>
    <row r="128" spans="3:6">
      <c r="C128" s="599"/>
      <c r="D128" s="599"/>
      <c r="E128" s="599"/>
    </row>
    <row r="129" spans="3:5">
      <c r="C129" s="599"/>
      <c r="D129" s="599"/>
      <c r="E129" s="599"/>
    </row>
    <row r="130" spans="3:5">
      <c r="C130" s="599"/>
      <c r="D130" s="599"/>
      <c r="E130" s="599"/>
    </row>
    <row r="131" spans="3:5">
      <c r="C131" s="599"/>
      <c r="D131" s="599"/>
      <c r="E131" s="599"/>
    </row>
    <row r="132" spans="3:5">
      <c r="C132" s="599"/>
      <c r="D132" s="599"/>
      <c r="E132" s="599"/>
    </row>
    <row r="133" spans="3:5">
      <c r="D133" s="497"/>
    </row>
    <row r="134" spans="3:5">
      <c r="D134" s="497"/>
    </row>
    <row r="135" spans="3:5">
      <c r="D135" s="497"/>
    </row>
    <row r="136" spans="3:5">
      <c r="D136" s="497"/>
    </row>
    <row r="137" spans="3:5">
      <c r="D137" s="497"/>
    </row>
    <row r="138" spans="3:5">
      <c r="D138" s="497"/>
    </row>
    <row r="139" spans="3:5">
      <c r="D139" s="497"/>
    </row>
    <row r="140" spans="3:5">
      <c r="D140" s="497"/>
    </row>
    <row r="141" spans="3:5">
      <c r="D141" s="497"/>
    </row>
    <row r="142" spans="3:5">
      <c r="D142" s="497"/>
    </row>
    <row r="143" spans="3:5">
      <c r="D143" s="497"/>
    </row>
    <row r="144" spans="3:5">
      <c r="D144" s="497"/>
    </row>
    <row r="145" spans="3:7">
      <c r="D145" s="497"/>
    </row>
    <row r="146" spans="3:7">
      <c r="D146" s="497"/>
    </row>
    <row r="147" spans="3:7">
      <c r="D147" s="497"/>
    </row>
    <row r="148" spans="3:7">
      <c r="D148" s="497"/>
    </row>
    <row r="149" spans="3:7">
      <c r="D149" s="497"/>
    </row>
    <row r="150" spans="3:7">
      <c r="C150" s="599"/>
      <c r="D150" s="574"/>
      <c r="E150" s="599"/>
      <c r="F150" s="599"/>
      <c r="G150" s="599"/>
    </row>
    <row r="151" spans="3:7">
      <c r="C151" s="599"/>
      <c r="D151" s="574"/>
      <c r="E151" s="599"/>
      <c r="F151" s="599"/>
      <c r="G151" s="599"/>
    </row>
    <row r="152" spans="3:7">
      <c r="C152" s="599"/>
      <c r="D152" s="574"/>
      <c r="E152" s="599"/>
      <c r="F152" s="599"/>
      <c r="G152" s="599"/>
    </row>
    <row r="153" spans="3:7">
      <c r="C153" s="599"/>
      <c r="D153" s="574"/>
      <c r="E153" s="599"/>
      <c r="F153" s="599"/>
      <c r="G153" s="599"/>
    </row>
    <row r="154" spans="3:7">
      <c r="C154" s="599"/>
      <c r="D154" s="574"/>
      <c r="E154" s="599"/>
      <c r="F154" s="599"/>
      <c r="G154" s="599"/>
    </row>
    <row r="155" spans="3:7">
      <c r="C155" s="599"/>
      <c r="D155" s="574"/>
      <c r="E155" s="599"/>
      <c r="F155" s="599"/>
      <c r="G155" s="599"/>
    </row>
  </sheetData>
  <mergeCells count="6">
    <mergeCell ref="C3:N3"/>
    <mergeCell ref="C65:N65"/>
    <mergeCell ref="J8:N8"/>
    <mergeCell ref="C4:N4"/>
    <mergeCell ref="C5:N5"/>
    <mergeCell ref="C6:N6"/>
  </mergeCells>
  <phoneticPr fontId="77" type="noConversion"/>
  <conditionalFormatting sqref="O62 O41 O23:O27">
    <cfRule type="cellIs" dxfId="9" priority="2" stopIfTrue="1" operator="equal">
      <formula>FALSE</formula>
    </cfRule>
  </conditionalFormatting>
  <conditionalFormatting sqref="O28">
    <cfRule type="cellIs" dxfId="8" priority="1" stopIfTrue="1" operator="equal">
      <formula>FALSE</formula>
    </cfRule>
  </conditionalFormatting>
  <pageMargins left="0.5" right="0.5" top="1" bottom="0.5" header="0.5" footer="0.5"/>
  <pageSetup scale="52" fitToHeight="0" orientation="portrait" r:id="rId1"/>
  <headerFooter alignWithMargins="0">
    <oddHeader>&amp;R&amp;18AEP - SPP Transco Formula Rate
TCOS - WS-C-1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R158"/>
  <sheetViews>
    <sheetView topLeftCell="A10" zoomScale="81" zoomScaleNormal="81" zoomScaleSheetLayoutView="75" zoomScalePageLayoutView="75" workbookViewId="0">
      <selection activeCell="J28" sqref="J28:N28"/>
    </sheetView>
  </sheetViews>
  <sheetFormatPr defaultColWidth="8.81640625" defaultRowHeight="12.5"/>
  <cols>
    <col min="1" max="2" width="1.7265625" style="497" customWidth="1"/>
    <col min="3" max="3" width="10.7265625" style="497" customWidth="1"/>
    <col min="4" max="4" width="1.7265625" style="552" customWidth="1"/>
    <col min="5" max="5" width="11.1796875" style="497" customWidth="1"/>
    <col min="6" max="6" width="1.7265625" style="497" customWidth="1"/>
    <col min="7" max="7" width="53.26953125" style="497" customWidth="1"/>
    <col min="8" max="8" width="18.7265625" style="553" customWidth="1"/>
    <col min="9" max="9" width="11.7265625" style="497" customWidth="1"/>
    <col min="10" max="10" width="16.81640625" style="497" customWidth="1"/>
    <col min="11" max="11" width="16.26953125" style="497" customWidth="1"/>
    <col min="12" max="12" width="18.81640625" style="497" customWidth="1"/>
    <col min="13" max="13" width="13.26953125" style="497" customWidth="1"/>
    <col min="14" max="14" width="17.1796875" style="497" customWidth="1"/>
    <col min="15" max="17" width="8.81640625" style="497"/>
    <col min="18" max="18" width="13.1796875" style="497" bestFit="1" customWidth="1"/>
    <col min="19" max="16384" width="8.81640625" style="497"/>
  </cols>
  <sheetData>
    <row r="1" spans="1:15" ht="15.5">
      <c r="A1" s="551"/>
    </row>
    <row r="2" spans="1:15" ht="20">
      <c r="A2" s="554"/>
      <c r="B2" s="555"/>
      <c r="D2" s="497"/>
      <c r="I2" s="504"/>
      <c r="J2" s="504"/>
      <c r="K2" s="504"/>
      <c r="L2" s="504"/>
      <c r="M2" s="504"/>
      <c r="N2" s="508" t="s">
        <v>253</v>
      </c>
      <c r="O2" s="505"/>
    </row>
    <row r="3" spans="1:15" ht="20">
      <c r="A3" s="508"/>
      <c r="B3" s="507"/>
      <c r="C3" s="2004" t="str">
        <f>+'OKT TCOS'!F4</f>
        <v xml:space="preserve">AEP West SPP Member Transmission Companies </v>
      </c>
      <c r="D3" s="2004"/>
      <c r="E3" s="2004"/>
      <c r="F3" s="2004"/>
      <c r="G3" s="2004"/>
      <c r="H3" s="2004"/>
      <c r="I3" s="2004"/>
      <c r="J3" s="2004"/>
      <c r="K3" s="2004"/>
      <c r="L3" s="2004"/>
      <c r="M3" s="2004"/>
      <c r="N3" s="2004"/>
      <c r="O3" s="505"/>
    </row>
    <row r="4" spans="1:15" ht="17.5">
      <c r="C4" s="2002" t="str">
        <f>+'OKT TCOS'!F8</f>
        <v>AEP OKLAHOMA TRANSMISSION COMPANY, INC.</v>
      </c>
      <c r="D4" s="2002"/>
      <c r="E4" s="2002"/>
      <c r="F4" s="2002"/>
      <c r="G4" s="2002"/>
      <c r="H4" s="2002"/>
      <c r="I4" s="2002"/>
      <c r="J4" s="2002"/>
      <c r="K4" s="2002"/>
      <c r="L4" s="2002"/>
      <c r="M4" s="2002"/>
      <c r="N4" s="2002"/>
      <c r="O4" s="505"/>
    </row>
    <row r="5" spans="1:15" ht="18">
      <c r="C5" s="2002" t="s">
        <v>628</v>
      </c>
      <c r="D5" s="2002"/>
      <c r="E5" s="2002"/>
      <c r="F5" s="2002"/>
      <c r="G5" s="2002"/>
      <c r="H5" s="2002"/>
      <c r="I5" s="2002"/>
      <c r="J5" s="2002"/>
      <c r="K5" s="2002"/>
      <c r="L5" s="2002"/>
      <c r="M5" s="2002"/>
      <c r="N5" s="2002"/>
    </row>
    <row r="6" spans="1:15" ht="23.25" customHeight="1">
      <c r="C6" s="2008" t="str">
        <f>"AS OF DECEMBER 31, "&amp;'OKT TCOS'!N2-1&amp;""</f>
        <v>AS OF DECEMBER 31, 2018</v>
      </c>
      <c r="D6" s="2008"/>
      <c r="E6" s="2008"/>
      <c r="F6" s="2008"/>
      <c r="G6" s="2008"/>
      <c r="H6" s="2008"/>
      <c r="I6" s="2008"/>
      <c r="J6" s="2008"/>
      <c r="K6" s="2008"/>
      <c r="L6" s="2008"/>
      <c r="M6" s="2008"/>
      <c r="N6" s="2008"/>
    </row>
    <row r="7" spans="1:15">
      <c r="D7" s="497"/>
    </row>
    <row r="8" spans="1:15">
      <c r="D8" s="497"/>
      <c r="J8" s="2006" t="s">
        <v>151</v>
      </c>
      <c r="K8" s="2006"/>
      <c r="L8" s="2006"/>
      <c r="M8" s="2006"/>
      <c r="N8" s="2006"/>
    </row>
    <row r="9" spans="1:15" ht="26">
      <c r="C9" s="556" t="s">
        <v>389</v>
      </c>
      <c r="D9" s="557"/>
      <c r="E9" s="556" t="s">
        <v>152</v>
      </c>
      <c r="G9" s="556" t="s">
        <v>305</v>
      </c>
      <c r="H9" s="558" t="s">
        <v>315</v>
      </c>
      <c r="I9" s="559" t="s">
        <v>85</v>
      </c>
      <c r="J9" s="559" t="s">
        <v>153</v>
      </c>
      <c r="K9" s="559" t="s">
        <v>154</v>
      </c>
      <c r="L9" s="556" t="s">
        <v>155</v>
      </c>
      <c r="M9" s="556" t="s">
        <v>156</v>
      </c>
      <c r="N9" s="556" t="s">
        <v>299</v>
      </c>
    </row>
    <row r="10" spans="1:15">
      <c r="C10" s="560" t="s">
        <v>586</v>
      </c>
      <c r="D10" s="561" t="s">
        <v>336</v>
      </c>
      <c r="E10" s="562" t="s">
        <v>656</v>
      </c>
      <c r="F10" s="563"/>
      <c r="G10" s="562" t="s">
        <v>956</v>
      </c>
      <c r="H10" s="564">
        <v>-101452998.95999999</v>
      </c>
      <c r="I10" s="565" t="s">
        <v>55</v>
      </c>
      <c r="J10" s="566">
        <v>-13197253.998216391</v>
      </c>
      <c r="K10" s="527">
        <f>IF($I10="T",$H10," ")-J10</f>
        <v>-88255744.961783603</v>
      </c>
      <c r="L10" s="527" t="str">
        <f t="shared" ref="L10:L26" si="0">IF($I10="PTD",$H10," ")</f>
        <v xml:space="preserve"> </v>
      </c>
      <c r="M10" s="601" t="str">
        <f t="shared" ref="M10:M26" si="1">IF($I10="T&amp;D",$H10," ")</f>
        <v xml:space="preserve"> </v>
      </c>
      <c r="N10" s="601" t="str">
        <f t="shared" ref="N10:N25" si="2">IF(I10="Labor",H10," ")</f>
        <v xml:space="preserve"> </v>
      </c>
    </row>
    <row r="11" spans="1:15">
      <c r="C11" s="560" t="s">
        <v>586</v>
      </c>
      <c r="D11" s="561"/>
      <c r="E11" s="562" t="s">
        <v>1086</v>
      </c>
      <c r="F11" s="563"/>
      <c r="G11" s="562" t="s">
        <v>1088</v>
      </c>
      <c r="H11" s="564">
        <v>0</v>
      </c>
      <c r="I11" s="565" t="s">
        <v>55</v>
      </c>
      <c r="J11" s="566"/>
      <c r="K11" s="527"/>
      <c r="L11" s="527"/>
      <c r="M11" s="601"/>
      <c r="N11" s="601"/>
    </row>
    <row r="12" spans="1:15">
      <c r="C12" s="560" t="s">
        <v>586</v>
      </c>
      <c r="D12" s="561" t="s">
        <v>336</v>
      </c>
      <c r="E12" s="562" t="s">
        <v>657</v>
      </c>
      <c r="F12" s="563"/>
      <c r="G12" s="562" t="s">
        <v>957</v>
      </c>
      <c r="H12" s="564">
        <v>-1592.43</v>
      </c>
      <c r="I12" s="565" t="s">
        <v>290</v>
      </c>
      <c r="J12" s="601">
        <f t="shared" ref="J12:J25" si="3">IF(I12="e",H12," ")</f>
        <v>-1592.43</v>
      </c>
      <c r="K12" s="527" t="str">
        <f t="shared" ref="K12:K26" si="4">IF($I12="T",$H12," ")</f>
        <v xml:space="preserve"> </v>
      </c>
      <c r="L12" s="527" t="str">
        <f t="shared" si="0"/>
        <v xml:space="preserve"> </v>
      </c>
      <c r="M12" s="601" t="str">
        <f t="shared" si="1"/>
        <v xml:space="preserve"> </v>
      </c>
      <c r="N12" s="601" t="str">
        <f t="shared" si="2"/>
        <v xml:space="preserve"> </v>
      </c>
    </row>
    <row r="13" spans="1:15">
      <c r="C13" s="560" t="s">
        <v>586</v>
      </c>
      <c r="D13" s="561"/>
      <c r="E13" s="562" t="s">
        <v>1087</v>
      </c>
      <c r="F13" s="563"/>
      <c r="G13" s="562" t="s">
        <v>1089</v>
      </c>
      <c r="H13" s="564">
        <v>0</v>
      </c>
      <c r="I13" s="565" t="s">
        <v>55</v>
      </c>
      <c r="J13" s="601"/>
      <c r="K13" s="527"/>
      <c r="L13" s="527"/>
      <c r="M13" s="601"/>
      <c r="N13" s="601"/>
    </row>
    <row r="14" spans="1:15">
      <c r="C14" s="560" t="s">
        <v>586</v>
      </c>
      <c r="D14" s="561" t="s">
        <v>336</v>
      </c>
      <c r="E14" s="562" t="s">
        <v>658</v>
      </c>
      <c r="F14" s="563"/>
      <c r="G14" s="562" t="s">
        <v>958</v>
      </c>
      <c r="H14" s="564">
        <v>54765.9</v>
      </c>
      <c r="I14" s="565" t="s">
        <v>55</v>
      </c>
      <c r="J14" s="602"/>
      <c r="K14" s="527">
        <f t="shared" si="4"/>
        <v>54765.9</v>
      </c>
      <c r="L14" s="603"/>
      <c r="M14" s="601"/>
      <c r="N14" s="601"/>
    </row>
    <row r="15" spans="1:15">
      <c r="C15" s="560" t="s">
        <v>586</v>
      </c>
      <c r="D15" s="561" t="s">
        <v>336</v>
      </c>
      <c r="E15" s="562" t="s">
        <v>659</v>
      </c>
      <c r="F15" s="563"/>
      <c r="G15" s="562" t="s">
        <v>959</v>
      </c>
      <c r="H15" s="564">
        <v>-2612957.0699999998</v>
      </c>
      <c r="I15" s="565" t="s">
        <v>55</v>
      </c>
      <c r="J15" s="601" t="str">
        <f t="shared" si="3"/>
        <v xml:space="preserve"> </v>
      </c>
      <c r="K15" s="527">
        <f t="shared" si="4"/>
        <v>-2612957.0699999998</v>
      </c>
      <c r="L15" s="527" t="str">
        <f t="shared" si="0"/>
        <v xml:space="preserve"> </v>
      </c>
      <c r="M15" s="601" t="str">
        <f t="shared" si="1"/>
        <v xml:space="preserve"> </v>
      </c>
      <c r="N15" s="601" t="str">
        <f t="shared" si="2"/>
        <v xml:space="preserve"> </v>
      </c>
    </row>
    <row r="16" spans="1:15">
      <c r="C16" s="560" t="s">
        <v>586</v>
      </c>
      <c r="D16" s="561" t="s">
        <v>336</v>
      </c>
      <c r="E16" s="562" t="s">
        <v>660</v>
      </c>
      <c r="F16" s="563"/>
      <c r="G16" s="562" t="s">
        <v>960</v>
      </c>
      <c r="H16" s="564">
        <v>5293287.8</v>
      </c>
      <c r="I16" s="565" t="s">
        <v>55</v>
      </c>
      <c r="J16" s="601" t="str">
        <f>IF(I16="e",H16," ")</f>
        <v xml:space="preserve"> </v>
      </c>
      <c r="K16" s="527">
        <f t="shared" si="4"/>
        <v>5293287.8</v>
      </c>
      <c r="L16" s="527" t="str">
        <f t="shared" si="0"/>
        <v xml:space="preserve"> </v>
      </c>
      <c r="M16" s="601" t="str">
        <f t="shared" si="1"/>
        <v xml:space="preserve"> </v>
      </c>
      <c r="N16" s="601" t="str">
        <f>IF(I16="Labor",H16," ")</f>
        <v xml:space="preserve"> </v>
      </c>
    </row>
    <row r="17" spans="3:18">
      <c r="C17" s="560" t="s">
        <v>586</v>
      </c>
      <c r="D17" s="561"/>
      <c r="E17" s="562" t="s">
        <v>1019</v>
      </c>
      <c r="F17" s="563"/>
      <c r="G17" s="562" t="s">
        <v>1027</v>
      </c>
      <c r="H17" s="564">
        <v>358643.49</v>
      </c>
      <c r="I17" s="565" t="s">
        <v>290</v>
      </c>
      <c r="J17" s="601">
        <f>IF(I17="e",H17," ")</f>
        <v>358643.49</v>
      </c>
      <c r="K17" s="527"/>
      <c r="L17" s="527"/>
      <c r="M17" s="601"/>
      <c r="N17" s="601"/>
    </row>
    <row r="18" spans="3:18">
      <c r="C18" s="560" t="s">
        <v>586</v>
      </c>
      <c r="D18" s="561"/>
      <c r="E18" s="562" t="s">
        <v>1020</v>
      </c>
      <c r="F18" s="563"/>
      <c r="G18" s="562" t="s">
        <v>1028</v>
      </c>
      <c r="H18" s="564">
        <v>-2716861.69</v>
      </c>
      <c r="I18" s="565" t="s">
        <v>55</v>
      </c>
      <c r="J18" s="601"/>
      <c r="K18" s="527">
        <f t="shared" si="4"/>
        <v>-2716861.69</v>
      </c>
      <c r="L18" s="527"/>
      <c r="M18" s="601"/>
      <c r="N18" s="601"/>
    </row>
    <row r="19" spans="3:18">
      <c r="C19" s="560" t="s">
        <v>586</v>
      </c>
      <c r="D19" s="561"/>
      <c r="E19" s="562" t="s">
        <v>1012</v>
      </c>
      <c r="F19" s="563"/>
      <c r="G19" s="562" t="s">
        <v>1010</v>
      </c>
      <c r="H19" s="564">
        <v>-98233.59</v>
      </c>
      <c r="I19" s="565" t="s">
        <v>55</v>
      </c>
      <c r="J19" s="601"/>
      <c r="K19" s="527">
        <f t="shared" si="4"/>
        <v>-98233.59</v>
      </c>
      <c r="L19" s="527"/>
      <c r="M19" s="601"/>
      <c r="N19" s="601"/>
    </row>
    <row r="20" spans="3:18">
      <c r="C20" s="560" t="s">
        <v>586</v>
      </c>
      <c r="D20" s="561"/>
      <c r="E20" s="562" t="s">
        <v>1005</v>
      </c>
      <c r="F20" s="563"/>
      <c r="G20" s="562" t="s">
        <v>1006</v>
      </c>
      <c r="H20" s="564">
        <v>-66431.399999999994</v>
      </c>
      <c r="I20" s="565" t="s">
        <v>55</v>
      </c>
      <c r="J20" s="601"/>
      <c r="K20" s="527">
        <f t="shared" si="4"/>
        <v>-66431.399999999994</v>
      </c>
      <c r="L20" s="527"/>
      <c r="M20" s="601"/>
      <c r="N20" s="601" t="str">
        <f>IF(I20="Labor",H20," ")</f>
        <v xml:space="preserve"> </v>
      </c>
    </row>
    <row r="21" spans="3:18">
      <c r="C21" s="560" t="s">
        <v>586</v>
      </c>
      <c r="D21" s="561"/>
      <c r="E21" s="562" t="s">
        <v>661</v>
      </c>
      <c r="F21" s="563"/>
      <c r="G21" s="562" t="s">
        <v>961</v>
      </c>
      <c r="H21" s="564">
        <v>-1556036.13</v>
      </c>
      <c r="I21" s="565" t="s">
        <v>299</v>
      </c>
      <c r="J21" s="601" t="str">
        <f>IF(I21="e",H21," ")</f>
        <v xml:space="preserve"> </v>
      </c>
      <c r="K21" s="527" t="str">
        <f t="shared" si="4"/>
        <v xml:space="preserve"> </v>
      </c>
      <c r="L21" s="527" t="str">
        <f t="shared" si="0"/>
        <v xml:space="preserve"> </v>
      </c>
      <c r="M21" s="601" t="str">
        <f t="shared" si="1"/>
        <v xml:space="preserve"> </v>
      </c>
      <c r="N21" s="601">
        <f>IF(I21="Labor",H21," ")</f>
        <v>-1556036.13</v>
      </c>
    </row>
    <row r="22" spans="3:18">
      <c r="C22" s="560" t="s">
        <v>586</v>
      </c>
      <c r="D22" s="561"/>
      <c r="E22" s="562" t="s">
        <v>662</v>
      </c>
      <c r="F22" s="563"/>
      <c r="G22" s="562" t="s">
        <v>962</v>
      </c>
      <c r="H22" s="564">
        <v>-37593.57</v>
      </c>
      <c r="I22" s="565" t="s">
        <v>55</v>
      </c>
      <c r="J22" s="601" t="str">
        <f>IF(I22="e",H22," ")</f>
        <v xml:space="preserve"> </v>
      </c>
      <c r="K22" s="527">
        <f t="shared" si="4"/>
        <v>-37593.57</v>
      </c>
      <c r="L22" s="527" t="str">
        <f t="shared" si="0"/>
        <v xml:space="preserve"> </v>
      </c>
      <c r="M22" s="601" t="str">
        <f t="shared" si="1"/>
        <v xml:space="preserve"> </v>
      </c>
      <c r="N22" s="601" t="str">
        <f>IF(I22="Labor",H22," ")</f>
        <v xml:space="preserve"> </v>
      </c>
    </row>
    <row r="23" spans="3:18">
      <c r="C23" s="560" t="s">
        <v>586</v>
      </c>
      <c r="D23" s="561"/>
      <c r="E23" s="562" t="s">
        <v>976</v>
      </c>
      <c r="F23" s="563"/>
      <c r="G23" s="562" t="s">
        <v>1007</v>
      </c>
      <c r="H23" s="564">
        <v>-62022937.600000001</v>
      </c>
      <c r="I23" s="565" t="s">
        <v>827</v>
      </c>
      <c r="J23" s="564">
        <v>1622771.3999999985</v>
      </c>
      <c r="K23" s="564">
        <v>-63645709</v>
      </c>
      <c r="L23" s="527" t="str">
        <f t="shared" si="0"/>
        <v xml:space="preserve"> </v>
      </c>
      <c r="M23" s="601" t="str">
        <f t="shared" si="1"/>
        <v xml:space="preserve"> </v>
      </c>
      <c r="N23" s="601" t="str">
        <f t="shared" si="2"/>
        <v xml:space="preserve"> </v>
      </c>
    </row>
    <row r="24" spans="3:18">
      <c r="C24" s="560" t="s">
        <v>586</v>
      </c>
      <c r="D24" s="561"/>
      <c r="E24" s="562" t="s">
        <v>976</v>
      </c>
      <c r="F24" s="563"/>
      <c r="G24" s="562" t="s">
        <v>1008</v>
      </c>
      <c r="H24" s="564">
        <v>-1190338.08</v>
      </c>
      <c r="I24" s="565" t="s">
        <v>827</v>
      </c>
      <c r="J24" s="564">
        <v>501577.94052348798</v>
      </c>
      <c r="K24" s="564">
        <v>-1691916.0205234881</v>
      </c>
      <c r="L24" s="527" t="str">
        <f t="shared" si="0"/>
        <v xml:space="preserve"> </v>
      </c>
      <c r="M24" s="601" t="str">
        <f t="shared" si="1"/>
        <v xml:space="preserve"> </v>
      </c>
      <c r="N24" s="601" t="str">
        <f t="shared" si="2"/>
        <v xml:space="preserve"> </v>
      </c>
      <c r="R24" s="604"/>
    </row>
    <row r="25" spans="3:18">
      <c r="C25" s="568"/>
      <c r="D25" s="569"/>
      <c r="E25" s="562"/>
      <c r="G25" s="605"/>
      <c r="H25" s="572"/>
      <c r="I25" s="570"/>
      <c r="J25" s="601" t="str">
        <f t="shared" si="3"/>
        <v xml:space="preserve"> </v>
      </c>
      <c r="K25" s="527" t="str">
        <f t="shared" si="4"/>
        <v xml:space="preserve"> </v>
      </c>
      <c r="L25" s="527" t="str">
        <f t="shared" si="0"/>
        <v xml:space="preserve"> </v>
      </c>
      <c r="M25" s="601" t="str">
        <f t="shared" si="1"/>
        <v xml:space="preserve"> </v>
      </c>
      <c r="N25" s="601" t="str">
        <f t="shared" si="2"/>
        <v xml:space="preserve"> </v>
      </c>
    </row>
    <row r="26" spans="3:18">
      <c r="C26" s="568"/>
      <c r="D26" s="569"/>
      <c r="E26" s="562"/>
      <c r="G26" s="571"/>
      <c r="H26" s="572"/>
      <c r="I26" s="570"/>
      <c r="J26" s="601" t="str">
        <f>IF(I26="e",H26," ")</f>
        <v xml:space="preserve"> </v>
      </c>
      <c r="K26" s="527" t="str">
        <f t="shared" si="4"/>
        <v xml:space="preserve"> </v>
      </c>
      <c r="L26" s="527" t="str">
        <f t="shared" si="0"/>
        <v xml:space="preserve"> </v>
      </c>
      <c r="M26" s="601" t="str">
        <f t="shared" si="1"/>
        <v xml:space="preserve"> </v>
      </c>
      <c r="N26" s="601" t="str">
        <f>IF(I26="Labor",H26," ")</f>
        <v xml:space="preserve"> </v>
      </c>
    </row>
    <row r="27" spans="3:18">
      <c r="C27" s="599"/>
      <c r="D27" s="574"/>
      <c r="H27" s="527"/>
      <c r="I27" s="606"/>
      <c r="J27" s="601"/>
      <c r="K27" s="527"/>
      <c r="L27" s="527"/>
      <c r="M27" s="607"/>
      <c r="N27" s="601"/>
    </row>
    <row r="28" spans="3:18" ht="13">
      <c r="C28" s="608">
        <v>282.10000000000002</v>
      </c>
      <c r="D28" s="497"/>
      <c r="G28" s="578" t="s">
        <v>158</v>
      </c>
      <c r="H28" s="579">
        <f>SUM(H10:H27)</f>
        <v>-166049283.33000001</v>
      </c>
      <c r="I28" s="527"/>
      <c r="J28" s="579">
        <f>SUM(J10:J27)</f>
        <v>-10715853.597692903</v>
      </c>
      <c r="K28" s="579">
        <f>SUM(K10:K27)</f>
        <v>-153777393.60230708</v>
      </c>
      <c r="L28" s="579">
        <f>SUM(L10:L27)</f>
        <v>0</v>
      </c>
      <c r="M28" s="579">
        <f>SUM(M10:M27)</f>
        <v>0</v>
      </c>
      <c r="N28" s="579">
        <f>SUM(N10:N27)</f>
        <v>-1556036.13</v>
      </c>
      <c r="O28" s="567"/>
    </row>
    <row r="29" spans="3:18" ht="25">
      <c r="G29" s="580" t="s">
        <v>168</v>
      </c>
      <c r="H29" s="609">
        <v>-166049283</v>
      </c>
      <c r="I29" s="581"/>
      <c r="J29" s="527"/>
      <c r="K29" s="527"/>
      <c r="L29" s="527"/>
      <c r="M29" s="527"/>
      <c r="N29" s="527"/>
    </row>
    <row r="30" spans="3:18">
      <c r="H30" s="582"/>
      <c r="I30" s="527"/>
      <c r="J30" s="527"/>
      <c r="K30" s="527"/>
      <c r="L30" s="527"/>
      <c r="M30" s="527"/>
      <c r="N30" s="527"/>
    </row>
    <row r="31" spans="3:18">
      <c r="H31" s="582"/>
      <c r="I31" s="527"/>
      <c r="J31" s="527"/>
      <c r="K31" s="527"/>
      <c r="L31" s="527"/>
      <c r="M31" s="527"/>
      <c r="N31" s="527"/>
    </row>
    <row r="32" spans="3:18">
      <c r="C32" s="560" t="s">
        <v>587</v>
      </c>
      <c r="D32" s="583" t="s">
        <v>336</v>
      </c>
      <c r="E32" s="562" t="s">
        <v>663</v>
      </c>
      <c r="F32" s="563"/>
      <c r="G32" s="562" t="s">
        <v>963</v>
      </c>
      <c r="H32" s="564">
        <v>-3352089.01</v>
      </c>
      <c r="I32" s="565" t="s">
        <v>290</v>
      </c>
      <c r="J32" s="601">
        <f>H32</f>
        <v>-3352089.01</v>
      </c>
      <c r="K32" s="527" t="str">
        <f t="shared" ref="K32:K39" si="5">IF($I32="T",$H32," ")</f>
        <v xml:space="preserve"> </v>
      </c>
      <c r="L32" s="527" t="str">
        <f t="shared" ref="L32:L39" si="6">IF($I32="PTD",$H32," ")</f>
        <v xml:space="preserve"> </v>
      </c>
      <c r="M32" s="601" t="str">
        <f t="shared" ref="M32:M39" si="7">IF($I32="T&amp;D",$H32," ")</f>
        <v xml:space="preserve"> </v>
      </c>
      <c r="N32" s="601" t="str">
        <f>IF(I32="Labor",H32," ")</f>
        <v xml:space="preserve"> </v>
      </c>
    </row>
    <row r="33" spans="3:15">
      <c r="C33" s="560" t="s">
        <v>587</v>
      </c>
      <c r="D33" s="583"/>
      <c r="E33" s="584" t="s">
        <v>1084</v>
      </c>
      <c r="F33" s="563"/>
      <c r="G33" s="562" t="s">
        <v>1085</v>
      </c>
      <c r="H33" s="564">
        <v>0</v>
      </c>
      <c r="I33" s="565" t="s">
        <v>290</v>
      </c>
      <c r="J33" s="601">
        <f>H33</f>
        <v>0</v>
      </c>
      <c r="K33" s="527"/>
      <c r="L33" s="527"/>
      <c r="M33" s="601"/>
      <c r="N33" s="601"/>
    </row>
    <row r="34" spans="3:15">
      <c r="C34" s="560" t="s">
        <v>587</v>
      </c>
      <c r="D34" s="583" t="s">
        <v>336</v>
      </c>
      <c r="E34" s="562" t="s">
        <v>964</v>
      </c>
      <c r="F34" s="563"/>
      <c r="G34" s="562" t="s">
        <v>965</v>
      </c>
      <c r="H34" s="564">
        <v>-0.01</v>
      </c>
      <c r="I34" s="565" t="s">
        <v>290</v>
      </c>
      <c r="J34" s="601">
        <f t="shared" ref="J34:J39" si="8">IF(I34="e",H34," ")</f>
        <v>-0.01</v>
      </c>
      <c r="K34" s="527" t="str">
        <f t="shared" si="5"/>
        <v xml:space="preserve"> </v>
      </c>
      <c r="L34" s="527" t="str">
        <f t="shared" si="6"/>
        <v xml:space="preserve"> </v>
      </c>
      <c r="M34" s="601" t="str">
        <f t="shared" si="7"/>
        <v xml:space="preserve"> </v>
      </c>
      <c r="N34" s="601" t="str">
        <f t="shared" ref="N34:N39" si="9">IF(I34="Labor",H34," ")</f>
        <v xml:space="preserve"> </v>
      </c>
    </row>
    <row r="35" spans="3:15">
      <c r="C35" s="585">
        <v>2831001</v>
      </c>
      <c r="D35" s="583"/>
      <c r="E35" s="562" t="s">
        <v>976</v>
      </c>
      <c r="F35" s="563"/>
      <c r="G35" s="562" t="s">
        <v>1009</v>
      </c>
      <c r="H35" s="564">
        <v>3500443.64</v>
      </c>
      <c r="I35" s="565" t="s">
        <v>827</v>
      </c>
      <c r="J35" s="564">
        <v>-1474997.1805234873</v>
      </c>
      <c r="K35" s="564">
        <v>4975440.8205234874</v>
      </c>
      <c r="L35" s="527" t="str">
        <f t="shared" si="6"/>
        <v xml:space="preserve"> </v>
      </c>
      <c r="M35" s="601" t="str">
        <f t="shared" si="7"/>
        <v xml:space="preserve"> </v>
      </c>
      <c r="N35" s="601" t="str">
        <f>IF(I35="Labor",H35," ")</f>
        <v xml:space="preserve"> </v>
      </c>
    </row>
    <row r="36" spans="3:15">
      <c r="C36" s="560"/>
      <c r="D36" s="583"/>
      <c r="E36" s="562"/>
      <c r="F36" s="563"/>
      <c r="G36" s="562"/>
      <c r="H36" s="564"/>
      <c r="I36" s="565"/>
      <c r="J36" s="601" t="str">
        <f t="shared" si="8"/>
        <v xml:space="preserve"> </v>
      </c>
      <c r="K36" s="527" t="str">
        <f t="shared" si="5"/>
        <v xml:space="preserve"> </v>
      </c>
      <c r="L36" s="527" t="str">
        <f t="shared" si="6"/>
        <v xml:space="preserve"> </v>
      </c>
      <c r="M36" s="601" t="str">
        <f t="shared" si="7"/>
        <v xml:space="preserve"> </v>
      </c>
      <c r="N36" s="601" t="str">
        <f t="shared" si="9"/>
        <v xml:space="preserve"> </v>
      </c>
    </row>
    <row r="37" spans="3:15">
      <c r="C37" s="585">
        <v>2831002</v>
      </c>
      <c r="D37" s="583" t="s">
        <v>336</v>
      </c>
      <c r="E37" s="562" t="s">
        <v>977</v>
      </c>
      <c r="F37" s="563"/>
      <c r="G37" s="562" t="s">
        <v>1011</v>
      </c>
      <c r="H37" s="564">
        <v>-28844766</v>
      </c>
      <c r="I37" s="565" t="s">
        <v>55</v>
      </c>
      <c r="J37" s="601" t="str">
        <f t="shared" si="8"/>
        <v xml:space="preserve"> </v>
      </c>
      <c r="K37" s="527">
        <f t="shared" si="5"/>
        <v>-28844766</v>
      </c>
      <c r="L37" s="527" t="str">
        <f t="shared" si="6"/>
        <v xml:space="preserve"> </v>
      </c>
      <c r="M37" s="601" t="str">
        <f t="shared" si="7"/>
        <v xml:space="preserve"> </v>
      </c>
      <c r="N37" s="601" t="str">
        <f t="shared" si="9"/>
        <v xml:space="preserve"> </v>
      </c>
    </row>
    <row r="38" spans="3:15">
      <c r="C38" s="585"/>
      <c r="D38" s="583"/>
      <c r="E38" s="562"/>
      <c r="F38" s="563"/>
      <c r="G38" s="562"/>
      <c r="H38" s="564"/>
      <c r="I38" s="565"/>
      <c r="J38" s="601"/>
      <c r="K38" s="527"/>
      <c r="L38" s="527"/>
      <c r="M38" s="601"/>
      <c r="N38" s="601"/>
    </row>
    <row r="39" spans="3:15">
      <c r="C39" s="560"/>
      <c r="D39" s="583"/>
      <c r="E39" s="562"/>
      <c r="F39" s="563"/>
      <c r="G39" s="562"/>
      <c r="H39" s="564"/>
      <c r="I39" s="565"/>
      <c r="J39" s="601" t="str">
        <f t="shared" si="8"/>
        <v xml:space="preserve"> </v>
      </c>
      <c r="K39" s="527" t="str">
        <f t="shared" si="5"/>
        <v xml:space="preserve"> </v>
      </c>
      <c r="L39" s="527" t="str">
        <f t="shared" si="6"/>
        <v xml:space="preserve"> </v>
      </c>
      <c r="M39" s="601" t="str">
        <f t="shared" si="7"/>
        <v xml:space="preserve"> </v>
      </c>
      <c r="N39" s="601" t="str">
        <f t="shared" si="9"/>
        <v xml:space="preserve"> </v>
      </c>
    </row>
    <row r="40" spans="3:15">
      <c r="D40" s="497"/>
      <c r="H40" s="527"/>
      <c r="I40" s="527"/>
      <c r="J40" s="582" t="str">
        <f>IF(I40="e",H40," ")</f>
        <v xml:space="preserve"> </v>
      </c>
      <c r="K40" s="582"/>
      <c r="L40" s="582" t="str">
        <f>IF($I40="PTD",$H40," ")</f>
        <v xml:space="preserve"> </v>
      </c>
      <c r="M40" s="582" t="str">
        <f>IF($I40="T&amp;D",$H40," ")</f>
        <v xml:space="preserve"> </v>
      </c>
      <c r="N40" s="582" t="str">
        <f>IF(I40="Labor",H40," ")</f>
        <v xml:space="preserve"> </v>
      </c>
    </row>
    <row r="41" spans="3:15" ht="13">
      <c r="C41" s="608">
        <v>283.10000000000002</v>
      </c>
      <c r="D41" s="497"/>
      <c r="G41" s="578" t="s">
        <v>158</v>
      </c>
      <c r="H41" s="591">
        <f>SUM(H32:H40)</f>
        <v>-28696411.379999999</v>
      </c>
      <c r="I41" s="527"/>
      <c r="J41" s="579">
        <f>SUM(J32:J40)</f>
        <v>-4827086.2005234864</v>
      </c>
      <c r="K41" s="579">
        <f>SUM(K32:K40)</f>
        <v>-23869325.179476514</v>
      </c>
      <c r="L41" s="579">
        <f>SUM(L32:L40)</f>
        <v>0</v>
      </c>
      <c r="M41" s="579">
        <f>SUM(M32:M40)</f>
        <v>0</v>
      </c>
      <c r="N41" s="579">
        <f>SUM(N32:N40)</f>
        <v>0</v>
      </c>
      <c r="O41" s="567"/>
    </row>
    <row r="42" spans="3:15" ht="25.5">
      <c r="C42" s="592"/>
      <c r="D42" s="497"/>
      <c r="G42" s="580" t="s">
        <v>111</v>
      </c>
      <c r="H42" s="1968">
        <v>-28696411</v>
      </c>
      <c r="I42" s="581"/>
      <c r="J42" s="593"/>
      <c r="K42" s="593"/>
      <c r="L42" s="593"/>
      <c r="M42" s="593"/>
      <c r="N42" s="593"/>
    </row>
    <row r="43" spans="3:15" ht="13">
      <c r="C43" s="592"/>
      <c r="D43" s="497"/>
      <c r="G43" s="610"/>
      <c r="H43" s="582"/>
      <c r="I43" s="581"/>
      <c r="J43" s="593"/>
      <c r="K43" s="593"/>
      <c r="L43" s="593"/>
      <c r="M43" s="593"/>
      <c r="N43" s="593"/>
    </row>
    <row r="44" spans="3:15">
      <c r="H44" s="582"/>
      <c r="I44" s="527"/>
      <c r="J44" s="527"/>
      <c r="K44" s="527"/>
      <c r="L44" s="527"/>
      <c r="M44" s="527"/>
      <c r="N44" s="527"/>
    </row>
    <row r="45" spans="3:15">
      <c r="C45" s="560" t="s">
        <v>588</v>
      </c>
      <c r="D45" s="595" t="s">
        <v>336</v>
      </c>
      <c r="E45" s="584" t="s">
        <v>966</v>
      </c>
      <c r="F45" s="563"/>
      <c r="G45" s="562" t="s">
        <v>967</v>
      </c>
      <c r="H45" s="564">
        <v>-612</v>
      </c>
      <c r="I45" s="565" t="s">
        <v>290</v>
      </c>
      <c r="J45" s="601">
        <f>IF(I45="e",H45," ")</f>
        <v>-612</v>
      </c>
      <c r="K45" s="527" t="str">
        <f>IF($I45="T",$H45," ")</f>
        <v xml:space="preserve"> </v>
      </c>
      <c r="L45" s="527" t="str">
        <f>IF($I45="PTD",$H45," ")</f>
        <v xml:space="preserve"> </v>
      </c>
      <c r="M45" s="601" t="str">
        <f>IF($I45="T&amp;D",$H45," ")</f>
        <v xml:space="preserve"> </v>
      </c>
      <c r="N45" s="601" t="str">
        <f>IF(I45="Labor",H45," ")</f>
        <v xml:space="preserve"> </v>
      </c>
    </row>
    <row r="46" spans="3:15">
      <c r="C46" s="560" t="s">
        <v>588</v>
      </c>
      <c r="D46" s="595" t="s">
        <v>336</v>
      </c>
      <c r="E46" s="584" t="s">
        <v>968</v>
      </c>
      <c r="F46" s="563"/>
      <c r="G46" s="562" t="s">
        <v>969</v>
      </c>
      <c r="H46" s="564">
        <v>612</v>
      </c>
      <c r="I46" s="565" t="s">
        <v>290</v>
      </c>
      <c r="J46" s="601">
        <f t="shared" ref="J46:J59" si="10">IF(I46="e",H46," ")</f>
        <v>612</v>
      </c>
      <c r="K46" s="527" t="str">
        <f t="shared" ref="K46:K59" si="11">IF($I46="T",$H46," ")</f>
        <v xml:space="preserve"> </v>
      </c>
      <c r="L46" s="527" t="str">
        <f t="shared" ref="L46:L59" si="12">IF($I46="PTD",$H46," ")</f>
        <v xml:space="preserve"> </v>
      </c>
      <c r="M46" s="601" t="str">
        <f t="shared" ref="M46:M59" si="13">IF($I46="T&amp;D",$H46," ")</f>
        <v xml:space="preserve"> </v>
      </c>
      <c r="N46" s="601" t="str">
        <f t="shared" ref="N46:N59" si="14">IF(I46="Labor",H46," ")</f>
        <v xml:space="preserve"> </v>
      </c>
    </row>
    <row r="47" spans="3:15">
      <c r="C47" s="560" t="s">
        <v>588</v>
      </c>
      <c r="D47" s="595"/>
      <c r="E47" s="584" t="s">
        <v>980</v>
      </c>
      <c r="F47" s="563"/>
      <c r="G47" s="562" t="s">
        <v>1016</v>
      </c>
      <c r="H47" s="564">
        <v>1313595.5900000001</v>
      </c>
      <c r="I47" s="565" t="s">
        <v>55</v>
      </c>
      <c r="J47" s="601"/>
      <c r="K47" s="527">
        <f t="shared" si="11"/>
        <v>1313595.5900000001</v>
      </c>
      <c r="L47" s="527"/>
      <c r="M47" s="601"/>
      <c r="N47" s="601"/>
    </row>
    <row r="48" spans="3:15">
      <c r="C48" s="560" t="s">
        <v>588</v>
      </c>
      <c r="D48" s="595"/>
      <c r="E48" s="584" t="s">
        <v>1014</v>
      </c>
      <c r="F48" s="563"/>
      <c r="G48" s="562" t="s">
        <v>1017</v>
      </c>
      <c r="H48" s="564">
        <v>2432462.0299999998</v>
      </c>
      <c r="I48" s="565" t="s">
        <v>55</v>
      </c>
      <c r="J48" s="601" t="str">
        <f t="shared" si="10"/>
        <v xml:space="preserve"> </v>
      </c>
      <c r="K48" s="527">
        <f t="shared" si="11"/>
        <v>2432462.0299999998</v>
      </c>
      <c r="L48" s="527" t="str">
        <f t="shared" si="12"/>
        <v xml:space="preserve"> </v>
      </c>
      <c r="M48" s="601" t="str">
        <f t="shared" si="13"/>
        <v xml:space="preserve"> </v>
      </c>
      <c r="N48" s="601" t="str">
        <f t="shared" si="14"/>
        <v xml:space="preserve"> </v>
      </c>
    </row>
    <row r="49" spans="3:15">
      <c r="C49" s="560" t="s">
        <v>588</v>
      </c>
      <c r="D49" s="595"/>
      <c r="E49" s="584" t="s">
        <v>1015</v>
      </c>
      <c r="F49" s="563"/>
      <c r="G49" s="562" t="s">
        <v>1018</v>
      </c>
      <c r="H49" s="564">
        <v>28733.49</v>
      </c>
      <c r="I49" s="565" t="s">
        <v>55</v>
      </c>
      <c r="J49" s="601"/>
      <c r="K49" s="527">
        <f t="shared" si="11"/>
        <v>28733.49</v>
      </c>
      <c r="L49" s="527"/>
      <c r="M49" s="601"/>
      <c r="N49" s="601"/>
    </row>
    <row r="50" spans="3:15">
      <c r="C50" s="560" t="s">
        <v>588</v>
      </c>
      <c r="D50" s="595" t="s">
        <v>336</v>
      </c>
      <c r="E50" s="584" t="s">
        <v>970</v>
      </c>
      <c r="F50" s="563"/>
      <c r="G50" s="562" t="s">
        <v>971</v>
      </c>
      <c r="H50" s="564">
        <v>79414.679999999993</v>
      </c>
      <c r="I50" s="565" t="s">
        <v>299</v>
      </c>
      <c r="J50" s="601"/>
      <c r="K50" s="527"/>
      <c r="L50" s="527"/>
      <c r="M50" s="601"/>
      <c r="N50" s="601">
        <f t="shared" si="14"/>
        <v>79414.679999999993</v>
      </c>
    </row>
    <row r="51" spans="3:15">
      <c r="C51" s="560" t="s">
        <v>588</v>
      </c>
      <c r="D51" s="595" t="s">
        <v>336</v>
      </c>
      <c r="E51" s="584" t="s">
        <v>1013</v>
      </c>
      <c r="F51" s="563"/>
      <c r="G51" s="562" t="s">
        <v>1026</v>
      </c>
      <c r="H51" s="564">
        <v>-3.57</v>
      </c>
      <c r="I51" s="565" t="s">
        <v>290</v>
      </c>
      <c r="J51" s="601">
        <f t="shared" si="10"/>
        <v>-3.57</v>
      </c>
      <c r="K51" s="527"/>
      <c r="L51" s="527"/>
      <c r="M51" s="601"/>
      <c r="N51" s="601"/>
    </row>
    <row r="52" spans="3:15">
      <c r="C52" s="560" t="s">
        <v>588</v>
      </c>
      <c r="D52" s="595" t="s">
        <v>336</v>
      </c>
      <c r="E52" s="584" t="s">
        <v>664</v>
      </c>
      <c r="F52" s="563"/>
      <c r="G52" s="562" t="s">
        <v>665</v>
      </c>
      <c r="H52" s="564">
        <v>6057400.8600000003</v>
      </c>
      <c r="I52" s="565" t="s">
        <v>55</v>
      </c>
      <c r="J52" s="601" t="str">
        <f t="shared" si="10"/>
        <v xml:space="preserve"> </v>
      </c>
      <c r="K52" s="527">
        <f t="shared" si="11"/>
        <v>6057400.8600000003</v>
      </c>
      <c r="L52" s="527" t="str">
        <f t="shared" si="12"/>
        <v xml:space="preserve"> </v>
      </c>
      <c r="M52" s="601" t="str">
        <f t="shared" si="13"/>
        <v xml:space="preserve"> </v>
      </c>
      <c r="N52" s="601" t="str">
        <f t="shared" si="14"/>
        <v xml:space="preserve"> </v>
      </c>
    </row>
    <row r="53" spans="3:15">
      <c r="C53" s="560" t="s">
        <v>588</v>
      </c>
      <c r="D53" s="595" t="s">
        <v>336</v>
      </c>
      <c r="E53" s="584" t="s">
        <v>972</v>
      </c>
      <c r="F53" s="563"/>
      <c r="G53" s="562" t="s">
        <v>973</v>
      </c>
      <c r="H53" s="564">
        <v>0</v>
      </c>
      <c r="I53" s="565" t="s">
        <v>290</v>
      </c>
      <c r="J53" s="601">
        <f t="shared" si="10"/>
        <v>0</v>
      </c>
      <c r="K53" s="527" t="str">
        <f t="shared" si="11"/>
        <v xml:space="preserve"> </v>
      </c>
      <c r="L53" s="527" t="str">
        <f t="shared" si="12"/>
        <v xml:space="preserve"> </v>
      </c>
      <c r="M53" s="601" t="str">
        <f t="shared" si="13"/>
        <v xml:space="preserve"> </v>
      </c>
      <c r="N53" s="601" t="str">
        <f t="shared" si="14"/>
        <v xml:space="preserve"> </v>
      </c>
    </row>
    <row r="54" spans="3:15">
      <c r="C54" s="560" t="s">
        <v>588</v>
      </c>
      <c r="D54" s="595" t="s">
        <v>336</v>
      </c>
      <c r="E54" s="584" t="s">
        <v>974</v>
      </c>
      <c r="F54" s="563"/>
      <c r="G54" s="562" t="s">
        <v>975</v>
      </c>
      <c r="H54" s="564">
        <v>0</v>
      </c>
      <c r="I54" s="565" t="s">
        <v>290</v>
      </c>
      <c r="J54" s="601">
        <f t="shared" si="10"/>
        <v>0</v>
      </c>
      <c r="K54" s="527" t="str">
        <f t="shared" si="11"/>
        <v xml:space="preserve"> </v>
      </c>
      <c r="L54" s="527" t="str">
        <f t="shared" si="12"/>
        <v xml:space="preserve"> </v>
      </c>
      <c r="M54" s="601" t="str">
        <f t="shared" si="13"/>
        <v xml:space="preserve"> </v>
      </c>
      <c r="N54" s="601" t="str">
        <f t="shared" si="14"/>
        <v xml:space="preserve"> </v>
      </c>
    </row>
    <row r="55" spans="3:15">
      <c r="C55" s="560"/>
      <c r="D55" s="595"/>
      <c r="E55" s="562"/>
      <c r="F55" s="563"/>
      <c r="G55" s="562"/>
      <c r="H55" s="564"/>
      <c r="I55" s="565"/>
      <c r="J55" s="601" t="str">
        <f t="shared" si="10"/>
        <v xml:space="preserve"> </v>
      </c>
      <c r="K55" s="527" t="str">
        <f t="shared" si="11"/>
        <v xml:space="preserve"> </v>
      </c>
      <c r="L55" s="527" t="str">
        <f t="shared" si="12"/>
        <v xml:space="preserve"> </v>
      </c>
      <c r="M55" s="601" t="str">
        <f t="shared" si="13"/>
        <v xml:space="preserve"> </v>
      </c>
      <c r="N55" s="601" t="str">
        <f t="shared" si="14"/>
        <v xml:space="preserve"> </v>
      </c>
    </row>
    <row r="56" spans="3:15">
      <c r="C56" s="585">
        <v>1901002</v>
      </c>
      <c r="D56" s="595"/>
      <c r="E56" s="562" t="s">
        <v>663</v>
      </c>
      <c r="F56" s="563"/>
      <c r="G56" s="562" t="s">
        <v>963</v>
      </c>
      <c r="H56" s="564">
        <v>15962333.32</v>
      </c>
      <c r="I56" s="565" t="s">
        <v>290</v>
      </c>
      <c r="J56" s="601">
        <f t="shared" si="10"/>
        <v>15962333.32</v>
      </c>
      <c r="K56" s="527" t="str">
        <f t="shared" si="11"/>
        <v xml:space="preserve"> </v>
      </c>
      <c r="L56" s="527" t="str">
        <f t="shared" si="12"/>
        <v xml:space="preserve"> </v>
      </c>
      <c r="M56" s="601" t="str">
        <f t="shared" si="13"/>
        <v xml:space="preserve"> </v>
      </c>
      <c r="N56" s="601" t="str">
        <f t="shared" si="14"/>
        <v xml:space="preserve"> </v>
      </c>
    </row>
    <row r="57" spans="3:15">
      <c r="C57" s="585">
        <v>1901002</v>
      </c>
      <c r="D57" s="595"/>
      <c r="E57" s="584" t="s">
        <v>1084</v>
      </c>
      <c r="F57" s="563"/>
      <c r="G57" s="562" t="s">
        <v>1085</v>
      </c>
      <c r="H57" s="564">
        <v>0</v>
      </c>
      <c r="I57" s="565" t="s">
        <v>290</v>
      </c>
      <c r="J57" s="601">
        <f t="shared" si="10"/>
        <v>0</v>
      </c>
      <c r="K57" s="527" t="str">
        <f t="shared" si="11"/>
        <v xml:space="preserve"> </v>
      </c>
      <c r="L57" s="527" t="str">
        <f t="shared" si="12"/>
        <v xml:space="preserve"> </v>
      </c>
      <c r="M57" s="601" t="str">
        <f t="shared" si="13"/>
        <v xml:space="preserve"> </v>
      </c>
      <c r="N57" s="601" t="str">
        <f t="shared" si="14"/>
        <v xml:space="preserve"> </v>
      </c>
    </row>
    <row r="58" spans="3:15">
      <c r="C58" s="560"/>
      <c r="D58" s="595"/>
      <c r="E58" s="562"/>
      <c r="F58" s="563"/>
      <c r="G58" s="562"/>
      <c r="H58" s="564"/>
      <c r="I58" s="565"/>
      <c r="J58" s="601" t="str">
        <f t="shared" si="10"/>
        <v xml:space="preserve"> </v>
      </c>
      <c r="K58" s="527" t="str">
        <f t="shared" si="11"/>
        <v xml:space="preserve"> </v>
      </c>
      <c r="L58" s="527" t="str">
        <f t="shared" si="12"/>
        <v xml:space="preserve"> </v>
      </c>
      <c r="M58" s="601" t="str">
        <f t="shared" si="13"/>
        <v xml:space="preserve"> </v>
      </c>
      <c r="N58" s="601" t="str">
        <f t="shared" si="14"/>
        <v xml:space="preserve"> </v>
      </c>
    </row>
    <row r="59" spans="3:15">
      <c r="C59" s="560"/>
      <c r="D59" s="569"/>
      <c r="E59" s="611"/>
      <c r="F59" s="586"/>
      <c r="G59" s="560"/>
      <c r="H59" s="572"/>
      <c r="I59" s="565"/>
      <c r="J59" s="601" t="str">
        <f t="shared" si="10"/>
        <v xml:space="preserve"> </v>
      </c>
      <c r="K59" s="527" t="str">
        <f t="shared" si="11"/>
        <v xml:space="preserve"> </v>
      </c>
      <c r="L59" s="527" t="str">
        <f t="shared" si="12"/>
        <v xml:space="preserve"> </v>
      </c>
      <c r="M59" s="601" t="str">
        <f t="shared" si="13"/>
        <v xml:space="preserve"> </v>
      </c>
      <c r="N59" s="601" t="str">
        <f t="shared" si="14"/>
        <v xml:space="preserve"> </v>
      </c>
    </row>
    <row r="60" spans="3:15">
      <c r="C60" s="599"/>
      <c r="D60" s="574"/>
      <c r="E60" s="599"/>
      <c r="G60" s="599"/>
      <c r="H60" s="612"/>
      <c r="I60" s="527"/>
      <c r="J60" s="582"/>
      <c r="K60" s="582"/>
      <c r="L60" s="527"/>
      <c r="M60" s="582"/>
      <c r="N60" s="582"/>
    </row>
    <row r="61" spans="3:15" ht="13">
      <c r="C61" s="608">
        <v>190.1</v>
      </c>
      <c r="D61" s="497"/>
      <c r="G61" s="578" t="s">
        <v>158</v>
      </c>
      <c r="H61" s="579">
        <f>SUM(H45:H59)</f>
        <v>25873936.400000002</v>
      </c>
      <c r="J61" s="579">
        <f>SUM(J45:J59)</f>
        <v>15962329.75</v>
      </c>
      <c r="K61" s="579">
        <f>SUM(K45:K59)</f>
        <v>9832191.9700000007</v>
      </c>
      <c r="L61" s="579">
        <f>SUM(L45:L59)</f>
        <v>0</v>
      </c>
      <c r="M61" s="579">
        <f>SUM(M45:M59)</f>
        <v>0</v>
      </c>
      <c r="N61" s="579">
        <f>SUM(N45:N59)</f>
        <v>79414.679999999993</v>
      </c>
      <c r="O61" s="567"/>
    </row>
    <row r="62" spans="3:15">
      <c r="G62" s="610" t="s">
        <v>127</v>
      </c>
      <c r="H62" s="572">
        <v>25873936</v>
      </c>
      <c r="I62" s="581"/>
    </row>
    <row r="64" spans="3:15">
      <c r="J64" s="594"/>
    </row>
    <row r="81" spans="3:8">
      <c r="C81" s="599"/>
      <c r="D81" s="574"/>
      <c r="E81" s="599"/>
      <c r="G81" s="599"/>
      <c r="H81" s="600"/>
    </row>
    <row r="117" spans="3:6">
      <c r="C117" s="599"/>
      <c r="D117" s="599"/>
      <c r="E117" s="599"/>
      <c r="F117" s="552"/>
    </row>
    <row r="118" spans="3:6">
      <c r="C118" s="599"/>
      <c r="D118" s="599"/>
      <c r="E118" s="599"/>
    </row>
    <row r="119" spans="3:6">
      <c r="C119" s="599"/>
      <c r="D119" s="599"/>
      <c r="E119" s="599"/>
    </row>
    <row r="120" spans="3:6">
      <c r="C120" s="599"/>
      <c r="D120" s="599"/>
      <c r="E120" s="599"/>
    </row>
    <row r="121" spans="3:6">
      <c r="C121" s="599"/>
      <c r="D121" s="599"/>
      <c r="E121" s="599"/>
    </row>
    <row r="122" spans="3:6">
      <c r="C122" s="599"/>
      <c r="D122" s="599"/>
      <c r="E122" s="599"/>
    </row>
    <row r="123" spans="3:6">
      <c r="C123" s="599"/>
      <c r="D123" s="599"/>
      <c r="E123" s="599"/>
    </row>
    <row r="124" spans="3:6">
      <c r="C124" s="599"/>
      <c r="D124" s="599"/>
      <c r="E124" s="599"/>
    </row>
    <row r="125" spans="3:6">
      <c r="C125" s="599"/>
      <c r="D125" s="599"/>
      <c r="E125" s="599"/>
    </row>
    <row r="126" spans="3:6">
      <c r="C126" s="599"/>
      <c r="D126" s="599"/>
      <c r="E126" s="599"/>
    </row>
    <row r="127" spans="3:6">
      <c r="C127" s="599"/>
      <c r="D127" s="599"/>
      <c r="E127" s="599"/>
    </row>
    <row r="128" spans="3:6">
      <c r="C128" s="599"/>
      <c r="D128" s="599"/>
      <c r="E128" s="599"/>
    </row>
    <row r="129" spans="3:5">
      <c r="C129" s="599"/>
      <c r="D129" s="599"/>
      <c r="E129" s="599"/>
    </row>
    <row r="130" spans="3:5">
      <c r="C130" s="599"/>
      <c r="D130" s="599"/>
      <c r="E130" s="599"/>
    </row>
    <row r="131" spans="3:5">
      <c r="C131" s="599"/>
      <c r="D131" s="599"/>
      <c r="E131" s="599"/>
    </row>
    <row r="132" spans="3:5">
      <c r="C132" s="599"/>
      <c r="D132" s="599"/>
      <c r="E132" s="599"/>
    </row>
    <row r="133" spans="3:5">
      <c r="C133" s="599"/>
      <c r="D133" s="599"/>
      <c r="E133" s="599"/>
    </row>
    <row r="134" spans="3:5">
      <c r="C134" s="599"/>
      <c r="D134" s="599"/>
      <c r="E134" s="599"/>
    </row>
    <row r="135" spans="3:5">
      <c r="C135" s="599"/>
      <c r="D135" s="599"/>
      <c r="E135" s="599"/>
    </row>
    <row r="136" spans="3:5">
      <c r="D136" s="497"/>
    </row>
    <row r="137" spans="3:5">
      <c r="D137" s="497"/>
    </row>
    <row r="138" spans="3:5">
      <c r="D138" s="497"/>
    </row>
    <row r="139" spans="3:5">
      <c r="D139" s="497"/>
    </row>
    <row r="140" spans="3:5">
      <c r="D140" s="497"/>
    </row>
    <row r="141" spans="3:5">
      <c r="D141" s="497"/>
    </row>
    <row r="142" spans="3:5">
      <c r="D142" s="497"/>
    </row>
    <row r="143" spans="3:5">
      <c r="D143" s="497"/>
    </row>
    <row r="144" spans="3:5">
      <c r="D144" s="497"/>
    </row>
    <row r="145" spans="3:7">
      <c r="D145" s="497"/>
    </row>
    <row r="146" spans="3:7">
      <c r="D146" s="497"/>
    </row>
    <row r="147" spans="3:7">
      <c r="D147" s="497"/>
    </row>
    <row r="148" spans="3:7">
      <c r="D148" s="497"/>
    </row>
    <row r="149" spans="3:7">
      <c r="D149" s="497"/>
    </row>
    <row r="150" spans="3:7">
      <c r="D150" s="497"/>
    </row>
    <row r="151" spans="3:7">
      <c r="D151" s="497"/>
    </row>
    <row r="152" spans="3:7">
      <c r="D152" s="497"/>
    </row>
    <row r="153" spans="3:7">
      <c r="C153" s="599"/>
      <c r="D153" s="574"/>
      <c r="E153" s="599"/>
      <c r="F153" s="599"/>
      <c r="G153" s="599"/>
    </row>
    <row r="154" spans="3:7">
      <c r="C154" s="599"/>
      <c r="D154" s="574"/>
      <c r="E154" s="599"/>
      <c r="F154" s="599"/>
      <c r="G154" s="599"/>
    </row>
    <row r="155" spans="3:7">
      <c r="C155" s="599"/>
      <c r="D155" s="574"/>
      <c r="E155" s="599"/>
      <c r="F155" s="599"/>
      <c r="G155" s="599"/>
    </row>
    <row r="156" spans="3:7">
      <c r="C156" s="599"/>
      <c r="D156" s="574"/>
      <c r="E156" s="599"/>
      <c r="F156" s="599"/>
      <c r="G156" s="599"/>
    </row>
    <row r="157" spans="3:7">
      <c r="C157" s="599"/>
      <c r="D157" s="574"/>
      <c r="E157" s="599"/>
      <c r="F157" s="599"/>
      <c r="G157" s="599"/>
    </row>
    <row r="158" spans="3:7">
      <c r="C158" s="599"/>
      <c r="D158" s="574"/>
      <c r="E158" s="599"/>
      <c r="F158" s="599"/>
      <c r="G158" s="599"/>
    </row>
  </sheetData>
  <mergeCells count="5">
    <mergeCell ref="J8:N8"/>
    <mergeCell ref="C4:N4"/>
    <mergeCell ref="C5:N5"/>
    <mergeCell ref="C6:N6"/>
    <mergeCell ref="C3:N3"/>
  </mergeCells>
  <phoneticPr fontId="0" type="noConversion"/>
  <conditionalFormatting sqref="O61 O41 O28">
    <cfRule type="cellIs" dxfId="7" priority="1" stopIfTrue="1" operator="equal">
      <formula>FALSE</formula>
    </cfRule>
  </conditionalFormatting>
  <printOptions horizontalCentered="1"/>
  <pageMargins left="0.25" right="0.25" top="1" bottom="0.25" header="0.65" footer="0.5"/>
  <pageSetup scale="53" fitToHeight="0" orientation="portrait" horizontalDpi="1200" verticalDpi="1200" r:id="rId1"/>
  <headerFooter alignWithMargins="0">
    <oddHeader xml:space="preserve">&amp;R&amp;18AEP - SPP Transco Formula Rate
TCOS - WS-C-2
Page: &amp;P of &amp;N
</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IV63"/>
  <sheetViews>
    <sheetView zoomScale="90" zoomScaleNormal="90" zoomScaleSheetLayoutView="90" zoomScalePageLayoutView="90" workbookViewId="0">
      <selection activeCell="H47" sqref="H47"/>
    </sheetView>
  </sheetViews>
  <sheetFormatPr defaultColWidth="9.1796875" defaultRowHeight="12.5"/>
  <cols>
    <col min="1" max="1" width="9.1796875" style="482"/>
    <col min="2" max="2" width="33.7265625" style="482" customWidth="1"/>
    <col min="3" max="3" width="16" style="482" customWidth="1"/>
    <col min="4" max="4" width="16.81640625" style="482" customWidth="1"/>
    <col min="5" max="6" width="12" style="482" customWidth="1"/>
    <col min="7" max="7" width="15" style="482" customWidth="1"/>
    <col min="8" max="8" width="17.1796875" style="482" customWidth="1"/>
    <col min="9" max="9" width="16.54296875" style="482" customWidth="1"/>
    <col min="10" max="16384" width="9.1796875" style="482"/>
  </cols>
  <sheetData>
    <row r="1" spans="1:256" ht="15.5">
      <c r="A1" s="481"/>
    </row>
    <row r="3" spans="1:256" ht="18" customHeight="1">
      <c r="A3" s="2004" t="str">
        <f>+'OKT TCOS'!F4</f>
        <v xml:space="preserve">AEP West SPP Member Transmission Companies </v>
      </c>
      <c r="B3" s="2004"/>
      <c r="C3" s="2004"/>
      <c r="D3" s="2004"/>
      <c r="E3" s="2004"/>
      <c r="F3" s="2004"/>
      <c r="G3" s="2004"/>
      <c r="H3" s="2004"/>
      <c r="I3" s="2004"/>
      <c r="J3" s="613"/>
      <c r="K3" s="613"/>
      <c r="L3" s="613"/>
    </row>
    <row r="4" spans="1:256" ht="17.5">
      <c r="A4" s="2011" t="str">
        <f>+'OKT TCOS'!F8</f>
        <v>AEP OKLAHOMA TRANSMISSION COMPANY, INC.</v>
      </c>
      <c r="B4" s="2011"/>
      <c r="C4" s="2011"/>
      <c r="D4" s="2011"/>
      <c r="E4" s="2011"/>
      <c r="F4" s="2011"/>
      <c r="G4" s="2011"/>
      <c r="H4" s="2011"/>
      <c r="I4" s="2011"/>
      <c r="J4" s="614"/>
      <c r="K4" s="614"/>
      <c r="L4" s="614"/>
    </row>
    <row r="5" spans="1:256" ht="18">
      <c r="A5" s="2002" t="s">
        <v>629</v>
      </c>
      <c r="B5" s="2002"/>
      <c r="C5" s="2002"/>
      <c r="D5" s="2002"/>
      <c r="E5" s="2002"/>
      <c r="F5" s="2002"/>
      <c r="G5" s="2002"/>
      <c r="H5" s="2002"/>
      <c r="I5" s="2002"/>
      <c r="J5" s="614"/>
      <c r="K5" s="614"/>
      <c r="L5" s="614"/>
    </row>
    <row r="6" spans="1:256" ht="18">
      <c r="A6" s="2008" t="str">
        <f>"AS OF DECEMBER 31, "&amp;'OKT TCOS'!N2&amp;""</f>
        <v>AS OF DECEMBER 31, 2019</v>
      </c>
      <c r="B6" s="2008"/>
      <c r="C6" s="2008"/>
      <c r="D6" s="2008"/>
      <c r="E6" s="2008"/>
      <c r="F6" s="2008"/>
      <c r="G6" s="2008"/>
      <c r="H6" s="2008"/>
      <c r="I6" s="2008"/>
      <c r="J6" s="615"/>
      <c r="K6" s="615"/>
      <c r="L6" s="615"/>
    </row>
    <row r="7" spans="1:256" ht="15.5">
      <c r="A7" s="616"/>
      <c r="B7" s="2012"/>
      <c r="C7" s="2012"/>
      <c r="D7" s="2012"/>
      <c r="E7" s="2012"/>
      <c r="F7" s="617"/>
      <c r="G7" s="617"/>
      <c r="H7" s="617"/>
      <c r="I7" s="617"/>
      <c r="J7" s="616"/>
      <c r="K7" s="616"/>
      <c r="L7" s="616"/>
      <c r="M7" s="616"/>
      <c r="N7" s="616"/>
      <c r="O7" s="616"/>
      <c r="P7" s="616"/>
      <c r="Q7" s="616"/>
      <c r="R7" s="616"/>
      <c r="S7" s="616"/>
      <c r="T7" s="616"/>
      <c r="U7" s="616"/>
      <c r="V7" s="616"/>
      <c r="W7" s="616"/>
      <c r="X7" s="616"/>
      <c r="Y7" s="616"/>
      <c r="Z7" s="616"/>
      <c r="AA7" s="616"/>
      <c r="AB7" s="616"/>
      <c r="AC7" s="616"/>
      <c r="AD7" s="616"/>
      <c r="AE7" s="616"/>
      <c r="AF7" s="616"/>
      <c r="AG7" s="616"/>
      <c r="AH7" s="616"/>
      <c r="AI7" s="616"/>
      <c r="AJ7" s="616"/>
      <c r="AK7" s="616"/>
      <c r="AL7" s="616"/>
      <c r="AM7" s="616"/>
      <c r="AN7" s="616"/>
      <c r="AO7" s="616"/>
      <c r="AP7" s="616"/>
      <c r="AQ7" s="616"/>
      <c r="AR7" s="616"/>
      <c r="AS7" s="616"/>
      <c r="AT7" s="616"/>
      <c r="AU7" s="616"/>
      <c r="AV7" s="616"/>
      <c r="AW7" s="616"/>
      <c r="AX7" s="616"/>
      <c r="AY7" s="616"/>
      <c r="AZ7" s="616"/>
      <c r="BA7" s="616"/>
      <c r="BB7" s="616"/>
      <c r="BC7" s="616"/>
      <c r="BD7" s="616"/>
      <c r="BE7" s="616"/>
      <c r="BF7" s="616"/>
      <c r="BG7" s="616"/>
      <c r="BH7" s="616"/>
      <c r="BI7" s="616"/>
      <c r="BJ7" s="616"/>
      <c r="BK7" s="616"/>
      <c r="BL7" s="616"/>
      <c r="BM7" s="616"/>
      <c r="BN7" s="616"/>
      <c r="BO7" s="616"/>
      <c r="BP7" s="616"/>
      <c r="BQ7" s="616"/>
      <c r="BR7" s="616"/>
      <c r="BS7" s="616"/>
      <c r="BT7" s="616"/>
      <c r="BU7" s="616"/>
      <c r="BV7" s="616"/>
      <c r="BW7" s="616"/>
      <c r="BX7" s="616"/>
      <c r="BY7" s="616"/>
      <c r="BZ7" s="616"/>
      <c r="CA7" s="616"/>
      <c r="CB7" s="616"/>
      <c r="CC7" s="616"/>
      <c r="CD7" s="616"/>
      <c r="CE7" s="616"/>
      <c r="CF7" s="616"/>
      <c r="CG7" s="616"/>
      <c r="CH7" s="616"/>
      <c r="CI7" s="616"/>
      <c r="CJ7" s="616"/>
      <c r="CK7" s="616"/>
      <c r="CL7" s="616"/>
      <c r="CM7" s="616"/>
      <c r="CN7" s="616"/>
      <c r="CO7" s="616"/>
      <c r="CP7" s="616"/>
      <c r="CQ7" s="616"/>
      <c r="CR7" s="616"/>
      <c r="CS7" s="616"/>
      <c r="CT7" s="616"/>
      <c r="CU7" s="616"/>
      <c r="CV7" s="616"/>
      <c r="CW7" s="616"/>
      <c r="CX7" s="616"/>
      <c r="CY7" s="616"/>
      <c r="CZ7" s="616"/>
      <c r="DA7" s="616"/>
      <c r="DB7" s="616"/>
      <c r="DC7" s="616"/>
      <c r="DD7" s="616"/>
      <c r="DE7" s="616"/>
      <c r="DF7" s="616"/>
      <c r="DG7" s="616"/>
      <c r="DH7" s="616"/>
      <c r="DI7" s="616"/>
      <c r="DJ7" s="616"/>
      <c r="DK7" s="616"/>
      <c r="DL7" s="616"/>
      <c r="DM7" s="616"/>
      <c r="DN7" s="616"/>
      <c r="DO7" s="616"/>
      <c r="DP7" s="616"/>
      <c r="DQ7" s="616"/>
      <c r="DR7" s="616"/>
      <c r="DS7" s="616"/>
      <c r="DT7" s="616"/>
      <c r="DU7" s="616"/>
      <c r="DV7" s="616"/>
      <c r="DW7" s="616"/>
      <c r="DX7" s="616"/>
      <c r="DY7" s="616"/>
      <c r="DZ7" s="616"/>
      <c r="EA7" s="616"/>
      <c r="EB7" s="616"/>
      <c r="EC7" s="616"/>
      <c r="ED7" s="616"/>
      <c r="EE7" s="616"/>
      <c r="EF7" s="616"/>
      <c r="EG7" s="616"/>
      <c r="EH7" s="616"/>
      <c r="EI7" s="616"/>
      <c r="EJ7" s="616"/>
      <c r="EK7" s="616"/>
      <c r="EL7" s="616"/>
      <c r="EM7" s="616"/>
      <c r="EN7" s="616"/>
      <c r="EO7" s="616"/>
      <c r="EP7" s="616"/>
      <c r="EQ7" s="616"/>
      <c r="ER7" s="616"/>
      <c r="ES7" s="616"/>
      <c r="ET7" s="616"/>
      <c r="EU7" s="616"/>
      <c r="EV7" s="616"/>
      <c r="EW7" s="616"/>
      <c r="EX7" s="616"/>
      <c r="EY7" s="616"/>
      <c r="EZ7" s="616"/>
      <c r="FA7" s="616"/>
      <c r="FB7" s="616"/>
      <c r="FC7" s="616"/>
      <c r="FD7" s="616"/>
      <c r="FE7" s="616"/>
      <c r="FF7" s="616"/>
      <c r="FG7" s="616"/>
      <c r="FH7" s="616"/>
      <c r="FI7" s="616"/>
      <c r="FJ7" s="616"/>
      <c r="FK7" s="616"/>
      <c r="FL7" s="616"/>
      <c r="FM7" s="616"/>
      <c r="FN7" s="616"/>
      <c r="FO7" s="616"/>
      <c r="FP7" s="616"/>
      <c r="FQ7" s="616"/>
      <c r="FR7" s="616"/>
      <c r="FS7" s="616"/>
      <c r="FT7" s="616"/>
      <c r="FU7" s="616"/>
      <c r="FV7" s="616"/>
      <c r="FW7" s="616"/>
      <c r="FX7" s="616"/>
      <c r="FY7" s="616"/>
      <c r="FZ7" s="616"/>
      <c r="GA7" s="616"/>
      <c r="GB7" s="616"/>
      <c r="GC7" s="616"/>
      <c r="GD7" s="616"/>
      <c r="GE7" s="616"/>
      <c r="GF7" s="616"/>
      <c r="GG7" s="616"/>
      <c r="GH7" s="616"/>
      <c r="GI7" s="616"/>
      <c r="GJ7" s="616"/>
      <c r="GK7" s="616"/>
      <c r="GL7" s="616"/>
      <c r="GM7" s="616"/>
      <c r="GN7" s="616"/>
      <c r="GO7" s="616"/>
      <c r="GP7" s="616"/>
      <c r="GQ7" s="616"/>
      <c r="GR7" s="616"/>
      <c r="GS7" s="616"/>
      <c r="GT7" s="616"/>
      <c r="GU7" s="616"/>
      <c r="GV7" s="616"/>
      <c r="GW7" s="616"/>
      <c r="GX7" s="616"/>
      <c r="GY7" s="616"/>
      <c r="GZ7" s="616"/>
      <c r="HA7" s="616"/>
      <c r="HB7" s="616"/>
      <c r="HC7" s="616"/>
      <c r="HD7" s="616"/>
      <c r="HE7" s="616"/>
      <c r="HF7" s="616"/>
      <c r="HG7" s="616"/>
      <c r="HH7" s="616"/>
      <c r="HI7" s="616"/>
      <c r="HJ7" s="616"/>
      <c r="HK7" s="616"/>
      <c r="HL7" s="616"/>
      <c r="HM7" s="616"/>
      <c r="HN7" s="616"/>
      <c r="HO7" s="616"/>
      <c r="HP7" s="616"/>
      <c r="HQ7" s="616"/>
      <c r="HR7" s="616"/>
      <c r="HS7" s="616"/>
      <c r="HT7" s="616"/>
      <c r="HU7" s="616"/>
      <c r="HV7" s="616"/>
      <c r="HW7" s="616"/>
      <c r="HX7" s="616"/>
      <c r="HY7" s="616"/>
      <c r="HZ7" s="616"/>
      <c r="IA7" s="616"/>
      <c r="IB7" s="616"/>
      <c r="IC7" s="616"/>
      <c r="ID7" s="616"/>
      <c r="IE7" s="616"/>
      <c r="IF7" s="616"/>
      <c r="IG7" s="616"/>
      <c r="IH7" s="616"/>
      <c r="II7" s="616"/>
      <c r="IJ7" s="616"/>
      <c r="IK7" s="616"/>
      <c r="IL7" s="616"/>
      <c r="IM7" s="616"/>
      <c r="IN7" s="616"/>
      <c r="IO7" s="616"/>
      <c r="IP7" s="616"/>
      <c r="IQ7" s="616"/>
      <c r="IR7" s="616"/>
      <c r="IS7" s="616"/>
      <c r="IT7" s="616"/>
      <c r="IU7" s="616"/>
      <c r="IV7" s="616"/>
    </row>
    <row r="8" spans="1:256" ht="57" customHeight="1">
      <c r="A8" s="2013" t="s">
        <v>615</v>
      </c>
      <c r="B8" s="2013"/>
      <c r="C8" s="2013"/>
      <c r="D8" s="2013"/>
      <c r="E8" s="2013"/>
      <c r="F8" s="2013"/>
      <c r="G8" s="2013"/>
      <c r="H8" s="2013"/>
      <c r="I8" s="2013"/>
      <c r="J8" s="616"/>
      <c r="K8" s="616"/>
      <c r="L8" s="616"/>
      <c r="M8" s="616"/>
      <c r="N8" s="616"/>
      <c r="O8" s="616"/>
      <c r="P8" s="616"/>
      <c r="Q8" s="616"/>
      <c r="R8" s="616"/>
      <c r="S8" s="616"/>
      <c r="T8" s="616"/>
      <c r="U8" s="616"/>
      <c r="V8" s="616"/>
      <c r="W8" s="616"/>
      <c r="X8" s="616"/>
      <c r="Y8" s="616"/>
      <c r="Z8" s="616"/>
      <c r="AA8" s="616"/>
      <c r="AB8" s="616"/>
      <c r="AC8" s="616"/>
      <c r="AD8" s="616"/>
      <c r="AE8" s="616"/>
      <c r="AF8" s="616"/>
      <c r="AG8" s="616"/>
      <c r="AH8" s="616"/>
      <c r="AI8" s="616"/>
      <c r="AJ8" s="616"/>
      <c r="AK8" s="616"/>
      <c r="AL8" s="616"/>
      <c r="AM8" s="616"/>
      <c r="AN8" s="616"/>
      <c r="AO8" s="616"/>
      <c r="AP8" s="616"/>
      <c r="AQ8" s="616"/>
      <c r="AR8" s="616"/>
      <c r="AS8" s="616"/>
      <c r="AT8" s="616"/>
      <c r="AU8" s="616"/>
      <c r="AV8" s="616"/>
      <c r="AW8" s="616"/>
      <c r="AX8" s="616"/>
      <c r="AY8" s="616"/>
      <c r="AZ8" s="616"/>
      <c r="BA8" s="616"/>
      <c r="BB8" s="616"/>
      <c r="BC8" s="616"/>
      <c r="BD8" s="616"/>
      <c r="BE8" s="616"/>
      <c r="BF8" s="616"/>
      <c r="BG8" s="616"/>
      <c r="BH8" s="616"/>
      <c r="BI8" s="616"/>
      <c r="BJ8" s="616"/>
      <c r="BK8" s="616"/>
      <c r="BL8" s="616"/>
      <c r="BM8" s="616"/>
      <c r="BN8" s="616"/>
      <c r="BO8" s="616"/>
      <c r="BP8" s="616"/>
      <c r="BQ8" s="616"/>
      <c r="BR8" s="616"/>
      <c r="BS8" s="616"/>
      <c r="BT8" s="616"/>
      <c r="BU8" s="616"/>
      <c r="BV8" s="616"/>
      <c r="BW8" s="616"/>
      <c r="BX8" s="616"/>
      <c r="BY8" s="616"/>
      <c r="BZ8" s="616"/>
      <c r="CA8" s="616"/>
      <c r="CB8" s="616"/>
      <c r="CC8" s="616"/>
      <c r="CD8" s="616"/>
      <c r="CE8" s="616"/>
      <c r="CF8" s="616"/>
      <c r="CG8" s="616"/>
      <c r="CH8" s="616"/>
      <c r="CI8" s="616"/>
      <c r="CJ8" s="616"/>
      <c r="CK8" s="616"/>
      <c r="CL8" s="616"/>
      <c r="CM8" s="616"/>
      <c r="CN8" s="616"/>
      <c r="CO8" s="616"/>
      <c r="CP8" s="616"/>
      <c r="CQ8" s="616"/>
      <c r="CR8" s="616"/>
      <c r="CS8" s="616"/>
      <c r="CT8" s="616"/>
      <c r="CU8" s="616"/>
      <c r="CV8" s="616"/>
      <c r="CW8" s="616"/>
      <c r="CX8" s="616"/>
      <c r="CY8" s="616"/>
      <c r="CZ8" s="616"/>
      <c r="DA8" s="616"/>
      <c r="DB8" s="616"/>
      <c r="DC8" s="616"/>
      <c r="DD8" s="616"/>
      <c r="DE8" s="616"/>
      <c r="DF8" s="616"/>
      <c r="DG8" s="616"/>
      <c r="DH8" s="616"/>
      <c r="DI8" s="616"/>
      <c r="DJ8" s="616"/>
      <c r="DK8" s="616"/>
      <c r="DL8" s="616"/>
      <c r="DM8" s="616"/>
      <c r="DN8" s="616"/>
      <c r="DO8" s="616"/>
      <c r="DP8" s="616"/>
      <c r="DQ8" s="616"/>
      <c r="DR8" s="616"/>
      <c r="DS8" s="616"/>
      <c r="DT8" s="616"/>
      <c r="DU8" s="616"/>
      <c r="DV8" s="616"/>
      <c r="DW8" s="616"/>
      <c r="DX8" s="616"/>
      <c r="DY8" s="616"/>
      <c r="DZ8" s="616"/>
      <c r="EA8" s="616"/>
      <c r="EB8" s="616"/>
      <c r="EC8" s="616"/>
      <c r="ED8" s="616"/>
      <c r="EE8" s="616"/>
      <c r="EF8" s="616"/>
      <c r="EG8" s="616"/>
      <c r="EH8" s="616"/>
      <c r="EI8" s="616"/>
      <c r="EJ8" s="616"/>
      <c r="EK8" s="616"/>
      <c r="EL8" s="616"/>
      <c r="EM8" s="616"/>
      <c r="EN8" s="616"/>
      <c r="EO8" s="616"/>
      <c r="EP8" s="616"/>
      <c r="EQ8" s="616"/>
      <c r="ER8" s="616"/>
      <c r="ES8" s="616"/>
      <c r="ET8" s="616"/>
      <c r="EU8" s="616"/>
      <c r="EV8" s="616"/>
      <c r="EW8" s="616"/>
      <c r="EX8" s="616"/>
      <c r="EY8" s="616"/>
      <c r="EZ8" s="616"/>
      <c r="FA8" s="616"/>
      <c r="FB8" s="616"/>
      <c r="FC8" s="616"/>
      <c r="FD8" s="616"/>
      <c r="FE8" s="616"/>
      <c r="FF8" s="616"/>
      <c r="FG8" s="616"/>
      <c r="FH8" s="616"/>
      <c r="FI8" s="616"/>
      <c r="FJ8" s="616"/>
      <c r="FK8" s="616"/>
      <c r="FL8" s="616"/>
      <c r="FM8" s="616"/>
      <c r="FN8" s="616"/>
      <c r="FO8" s="616"/>
      <c r="FP8" s="616"/>
      <c r="FQ8" s="616"/>
      <c r="FR8" s="616"/>
      <c r="FS8" s="616"/>
      <c r="FT8" s="616"/>
      <c r="FU8" s="616"/>
      <c r="FV8" s="616"/>
      <c r="FW8" s="616"/>
      <c r="FX8" s="616"/>
      <c r="FY8" s="616"/>
      <c r="FZ8" s="616"/>
      <c r="GA8" s="616"/>
      <c r="GB8" s="616"/>
      <c r="GC8" s="616"/>
      <c r="GD8" s="616"/>
      <c r="GE8" s="616"/>
      <c r="GF8" s="616"/>
      <c r="GG8" s="616"/>
      <c r="GH8" s="616"/>
      <c r="GI8" s="616"/>
      <c r="GJ8" s="616"/>
      <c r="GK8" s="616"/>
      <c r="GL8" s="616"/>
      <c r="GM8" s="616"/>
      <c r="GN8" s="616"/>
      <c r="GO8" s="616"/>
      <c r="GP8" s="616"/>
      <c r="GQ8" s="616"/>
      <c r="GR8" s="616"/>
      <c r="GS8" s="616"/>
      <c r="GT8" s="616"/>
      <c r="GU8" s="616"/>
      <c r="GV8" s="616"/>
      <c r="GW8" s="616"/>
      <c r="GX8" s="616"/>
      <c r="GY8" s="616"/>
      <c r="GZ8" s="616"/>
      <c r="HA8" s="616"/>
      <c r="HB8" s="616"/>
      <c r="HC8" s="616"/>
      <c r="HD8" s="616"/>
      <c r="HE8" s="616"/>
      <c r="HF8" s="616"/>
      <c r="HG8" s="616"/>
      <c r="HH8" s="616"/>
      <c r="HI8" s="616"/>
      <c r="HJ8" s="616"/>
      <c r="HK8" s="616"/>
      <c r="HL8" s="616"/>
      <c r="HM8" s="616"/>
      <c r="HN8" s="616"/>
      <c r="HO8" s="616"/>
      <c r="HP8" s="616"/>
      <c r="HQ8" s="616"/>
      <c r="HR8" s="616"/>
      <c r="HS8" s="616"/>
      <c r="HT8" s="616"/>
      <c r="HU8" s="616"/>
      <c r="HV8" s="616"/>
      <c r="HW8" s="616"/>
      <c r="HX8" s="616"/>
      <c r="HY8" s="616"/>
      <c r="HZ8" s="616"/>
      <c r="IA8" s="616"/>
      <c r="IB8" s="616"/>
      <c r="IC8" s="616"/>
      <c r="ID8" s="616"/>
      <c r="IE8" s="616"/>
      <c r="IF8" s="616"/>
      <c r="IG8" s="616"/>
      <c r="IH8" s="616"/>
      <c r="II8" s="616"/>
      <c r="IJ8" s="616"/>
      <c r="IK8" s="616"/>
      <c r="IL8" s="616"/>
      <c r="IM8" s="616"/>
      <c r="IN8" s="616"/>
      <c r="IO8" s="616"/>
      <c r="IP8" s="616"/>
      <c r="IQ8" s="616"/>
      <c r="IR8" s="616"/>
      <c r="IS8" s="616"/>
      <c r="IT8" s="616"/>
      <c r="IU8" s="616"/>
      <c r="IV8" s="616"/>
    </row>
    <row r="9" spans="1:256">
      <c r="B9" s="618"/>
      <c r="C9" s="618"/>
      <c r="D9" s="618"/>
      <c r="E9" s="618"/>
      <c r="F9" s="618"/>
      <c r="G9" s="618"/>
      <c r="H9" s="618"/>
      <c r="I9" s="618"/>
      <c r="J9" s="616"/>
      <c r="K9" s="616"/>
      <c r="L9" s="616"/>
      <c r="M9" s="616"/>
      <c r="N9" s="616"/>
      <c r="O9" s="616"/>
      <c r="P9" s="616"/>
      <c r="Q9" s="616"/>
      <c r="R9" s="616"/>
      <c r="S9" s="616"/>
      <c r="T9" s="616"/>
      <c r="U9" s="616"/>
      <c r="V9" s="616"/>
      <c r="W9" s="616"/>
      <c r="X9" s="616"/>
      <c r="Y9" s="616"/>
      <c r="Z9" s="616"/>
      <c r="AA9" s="616"/>
      <c r="AB9" s="616"/>
      <c r="AC9" s="616"/>
      <c r="AD9" s="616"/>
      <c r="AE9" s="616"/>
      <c r="AF9" s="616"/>
      <c r="AG9" s="616"/>
      <c r="AH9" s="616"/>
      <c r="AI9" s="616"/>
      <c r="AJ9" s="616"/>
      <c r="AK9" s="616"/>
      <c r="AL9" s="616"/>
      <c r="AM9" s="616"/>
      <c r="AN9" s="616"/>
      <c r="AO9" s="616"/>
      <c r="AP9" s="616"/>
      <c r="AQ9" s="616"/>
      <c r="AR9" s="616"/>
      <c r="AS9" s="616"/>
      <c r="AT9" s="616"/>
      <c r="AU9" s="616"/>
      <c r="AV9" s="616"/>
      <c r="AW9" s="616"/>
      <c r="AX9" s="616"/>
      <c r="AY9" s="616"/>
      <c r="AZ9" s="616"/>
      <c r="BA9" s="616"/>
      <c r="BB9" s="616"/>
      <c r="BC9" s="616"/>
      <c r="BD9" s="616"/>
      <c r="BE9" s="616"/>
      <c r="BF9" s="616"/>
      <c r="BG9" s="616"/>
      <c r="BH9" s="616"/>
      <c r="BI9" s="616"/>
      <c r="BJ9" s="616"/>
      <c r="BK9" s="616"/>
      <c r="BL9" s="616"/>
      <c r="BM9" s="616"/>
      <c r="BN9" s="616"/>
      <c r="BO9" s="616"/>
      <c r="BP9" s="616"/>
      <c r="BQ9" s="616"/>
      <c r="BR9" s="616"/>
      <c r="BS9" s="616"/>
      <c r="BT9" s="616"/>
      <c r="BU9" s="616"/>
      <c r="BV9" s="616"/>
      <c r="BW9" s="616"/>
      <c r="BX9" s="616"/>
      <c r="BY9" s="616"/>
      <c r="BZ9" s="616"/>
      <c r="CA9" s="616"/>
      <c r="CB9" s="616"/>
      <c r="CC9" s="616"/>
      <c r="CD9" s="616"/>
      <c r="CE9" s="616"/>
      <c r="CF9" s="616"/>
      <c r="CG9" s="616"/>
      <c r="CH9" s="616"/>
      <c r="CI9" s="616"/>
      <c r="CJ9" s="616"/>
      <c r="CK9" s="616"/>
      <c r="CL9" s="616"/>
      <c r="CM9" s="616"/>
      <c r="CN9" s="616"/>
      <c r="CO9" s="616"/>
      <c r="CP9" s="616"/>
      <c r="CQ9" s="616"/>
      <c r="CR9" s="616"/>
      <c r="CS9" s="616"/>
      <c r="CT9" s="616"/>
      <c r="CU9" s="616"/>
      <c r="CV9" s="616"/>
      <c r="CW9" s="616"/>
      <c r="CX9" s="616"/>
      <c r="CY9" s="616"/>
      <c r="CZ9" s="616"/>
      <c r="DA9" s="616"/>
      <c r="DB9" s="616"/>
      <c r="DC9" s="616"/>
      <c r="DD9" s="616"/>
      <c r="DE9" s="616"/>
      <c r="DF9" s="616"/>
      <c r="DG9" s="616"/>
      <c r="DH9" s="616"/>
      <c r="DI9" s="616"/>
      <c r="DJ9" s="616"/>
      <c r="DK9" s="616"/>
      <c r="DL9" s="616"/>
      <c r="DM9" s="616"/>
      <c r="DN9" s="616"/>
      <c r="DO9" s="616"/>
      <c r="DP9" s="616"/>
      <c r="DQ9" s="616"/>
      <c r="DR9" s="616"/>
      <c r="DS9" s="616"/>
      <c r="DT9" s="616"/>
      <c r="DU9" s="616"/>
      <c r="DV9" s="616"/>
      <c r="DW9" s="616"/>
      <c r="DX9" s="616"/>
      <c r="DY9" s="616"/>
      <c r="DZ9" s="616"/>
      <c r="EA9" s="616"/>
      <c r="EB9" s="616"/>
      <c r="EC9" s="616"/>
      <c r="ED9" s="616"/>
      <c r="EE9" s="616"/>
      <c r="EF9" s="616"/>
      <c r="EG9" s="616"/>
      <c r="EH9" s="616"/>
      <c r="EI9" s="616"/>
      <c r="EJ9" s="616"/>
      <c r="EK9" s="616"/>
      <c r="EL9" s="616"/>
      <c r="EM9" s="616"/>
      <c r="EN9" s="616"/>
      <c r="EO9" s="616"/>
      <c r="EP9" s="616"/>
      <c r="EQ9" s="616"/>
      <c r="ER9" s="616"/>
      <c r="ES9" s="616"/>
      <c r="ET9" s="616"/>
      <c r="EU9" s="616"/>
      <c r="EV9" s="616"/>
      <c r="EW9" s="616"/>
      <c r="EX9" s="616"/>
      <c r="EY9" s="616"/>
      <c r="EZ9" s="616"/>
      <c r="FA9" s="616"/>
      <c r="FB9" s="616"/>
      <c r="FC9" s="616"/>
      <c r="FD9" s="616"/>
      <c r="FE9" s="616"/>
      <c r="FF9" s="616"/>
      <c r="FG9" s="616"/>
      <c r="FH9" s="616"/>
      <c r="FI9" s="616"/>
      <c r="FJ9" s="616"/>
      <c r="FK9" s="616"/>
      <c r="FL9" s="616"/>
      <c r="FM9" s="616"/>
      <c r="FN9" s="616"/>
      <c r="FO9" s="616"/>
      <c r="FP9" s="616"/>
      <c r="FQ9" s="616"/>
      <c r="FR9" s="616"/>
      <c r="FS9" s="616"/>
      <c r="FT9" s="616"/>
      <c r="FU9" s="616"/>
      <c r="FV9" s="616"/>
      <c r="FW9" s="616"/>
      <c r="FX9" s="616"/>
      <c r="FY9" s="616"/>
      <c r="FZ9" s="616"/>
      <c r="GA9" s="616"/>
      <c r="GB9" s="616"/>
      <c r="GC9" s="616"/>
      <c r="GD9" s="616"/>
      <c r="GE9" s="616"/>
      <c r="GF9" s="616"/>
      <c r="GG9" s="616"/>
      <c r="GH9" s="616"/>
      <c r="GI9" s="616"/>
      <c r="GJ9" s="616"/>
      <c r="GK9" s="616"/>
      <c r="GL9" s="616"/>
      <c r="GM9" s="616"/>
      <c r="GN9" s="616"/>
      <c r="GO9" s="616"/>
      <c r="GP9" s="616"/>
      <c r="GQ9" s="616"/>
      <c r="GR9" s="616"/>
      <c r="GS9" s="616"/>
      <c r="GT9" s="616"/>
      <c r="GU9" s="616"/>
      <c r="GV9" s="616"/>
      <c r="GW9" s="616"/>
      <c r="GX9" s="616"/>
      <c r="GY9" s="616"/>
      <c r="GZ9" s="616"/>
      <c r="HA9" s="616"/>
      <c r="HB9" s="616"/>
      <c r="HC9" s="616"/>
      <c r="HD9" s="616"/>
      <c r="HE9" s="616"/>
      <c r="HF9" s="616"/>
      <c r="HG9" s="616"/>
      <c r="HH9" s="616"/>
      <c r="HI9" s="616"/>
      <c r="HJ9" s="616"/>
      <c r="HK9" s="616"/>
      <c r="HL9" s="616"/>
      <c r="HM9" s="616"/>
      <c r="HN9" s="616"/>
      <c r="HO9" s="616"/>
      <c r="HP9" s="616"/>
      <c r="HQ9" s="616"/>
      <c r="HR9" s="616"/>
      <c r="HS9" s="616"/>
      <c r="HT9" s="616"/>
      <c r="HU9" s="616"/>
      <c r="HV9" s="616"/>
      <c r="HW9" s="616"/>
      <c r="HX9" s="616"/>
      <c r="HY9" s="616"/>
      <c r="HZ9" s="616"/>
      <c r="IA9" s="616"/>
      <c r="IB9" s="616"/>
      <c r="IC9" s="616"/>
      <c r="ID9" s="616"/>
      <c r="IE9" s="616"/>
      <c r="IF9" s="616"/>
      <c r="IG9" s="616"/>
      <c r="IH9" s="616"/>
      <c r="II9" s="616"/>
      <c r="IJ9" s="616"/>
      <c r="IK9" s="616"/>
      <c r="IL9" s="616"/>
      <c r="IM9" s="616"/>
      <c r="IN9" s="616"/>
      <c r="IO9" s="616"/>
      <c r="IP9" s="616"/>
      <c r="IQ9" s="616"/>
      <c r="IR9" s="616"/>
      <c r="IS9" s="616"/>
      <c r="IT9" s="616"/>
      <c r="IU9" s="616"/>
      <c r="IV9" s="616"/>
    </row>
    <row r="10" spans="1:256">
      <c r="A10" s="619" t="s">
        <v>614</v>
      </c>
      <c r="B10" s="618"/>
      <c r="C10" s="616"/>
      <c r="D10" s="618"/>
      <c r="E10" s="2010" t="s">
        <v>344</v>
      </c>
      <c r="F10" s="2010"/>
      <c r="G10" s="618"/>
      <c r="H10" s="618"/>
      <c r="I10" s="618"/>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6"/>
      <c r="AK10" s="616"/>
      <c r="AL10" s="616"/>
      <c r="AM10" s="616"/>
      <c r="AN10" s="616"/>
      <c r="AO10" s="616"/>
      <c r="AP10" s="616"/>
      <c r="AQ10" s="616"/>
      <c r="AR10" s="616"/>
      <c r="AS10" s="616"/>
      <c r="AT10" s="616"/>
      <c r="AU10" s="616"/>
      <c r="AV10" s="616"/>
      <c r="AW10" s="616"/>
      <c r="AX10" s="616"/>
      <c r="AY10" s="616"/>
      <c r="AZ10" s="616"/>
      <c r="BA10" s="616"/>
      <c r="BB10" s="616"/>
      <c r="BC10" s="616"/>
      <c r="BD10" s="616"/>
      <c r="BE10" s="616"/>
      <c r="BF10" s="616"/>
      <c r="BG10" s="616"/>
      <c r="BH10" s="616"/>
      <c r="BI10" s="616"/>
      <c r="BJ10" s="616"/>
      <c r="BK10" s="616"/>
      <c r="BL10" s="616"/>
      <c r="BM10" s="616"/>
      <c r="BN10" s="616"/>
      <c r="BO10" s="616"/>
      <c r="BP10" s="616"/>
      <c r="BQ10" s="616"/>
      <c r="BR10" s="616"/>
      <c r="BS10" s="616"/>
      <c r="BT10" s="616"/>
      <c r="BU10" s="616"/>
      <c r="BV10" s="616"/>
      <c r="BW10" s="616"/>
      <c r="BX10" s="616"/>
      <c r="BY10" s="616"/>
      <c r="BZ10" s="616"/>
      <c r="CA10" s="616"/>
      <c r="CB10" s="616"/>
      <c r="CC10" s="616"/>
      <c r="CD10" s="616"/>
      <c r="CE10" s="616"/>
      <c r="CF10" s="616"/>
      <c r="CG10" s="616"/>
      <c r="CH10" s="616"/>
      <c r="CI10" s="616"/>
      <c r="CJ10" s="616"/>
      <c r="CK10" s="616"/>
      <c r="CL10" s="616"/>
      <c r="CM10" s="616"/>
      <c r="CN10" s="616"/>
      <c r="CO10" s="616"/>
      <c r="CP10" s="616"/>
      <c r="CQ10" s="616"/>
      <c r="CR10" s="616"/>
      <c r="CS10" s="616"/>
      <c r="CT10" s="616"/>
      <c r="CU10" s="616"/>
      <c r="CV10" s="616"/>
      <c r="CW10" s="616"/>
      <c r="CX10" s="616"/>
      <c r="CY10" s="616"/>
      <c r="CZ10" s="616"/>
      <c r="DA10" s="616"/>
      <c r="DB10" s="616"/>
      <c r="DC10" s="616"/>
      <c r="DD10" s="616"/>
      <c r="DE10" s="616"/>
      <c r="DF10" s="616"/>
      <c r="DG10" s="616"/>
      <c r="DH10" s="616"/>
      <c r="DI10" s="616"/>
      <c r="DJ10" s="616"/>
      <c r="DK10" s="616"/>
      <c r="DL10" s="616"/>
      <c r="DM10" s="616"/>
      <c r="DN10" s="616"/>
      <c r="DO10" s="616"/>
      <c r="DP10" s="616"/>
      <c r="DQ10" s="616"/>
      <c r="DR10" s="616"/>
      <c r="DS10" s="616"/>
      <c r="DT10" s="616"/>
      <c r="DU10" s="616"/>
      <c r="DV10" s="616"/>
      <c r="DW10" s="616"/>
      <c r="DX10" s="616"/>
      <c r="DY10" s="616"/>
      <c r="DZ10" s="616"/>
      <c r="EA10" s="616"/>
      <c r="EB10" s="616"/>
      <c r="EC10" s="616"/>
      <c r="ED10" s="616"/>
      <c r="EE10" s="616"/>
      <c r="EF10" s="616"/>
      <c r="EG10" s="616"/>
      <c r="EH10" s="616"/>
      <c r="EI10" s="616"/>
      <c r="EJ10" s="616"/>
      <c r="EK10" s="616"/>
      <c r="EL10" s="616"/>
      <c r="EM10" s="616"/>
      <c r="EN10" s="616"/>
      <c r="EO10" s="616"/>
      <c r="EP10" s="616"/>
      <c r="EQ10" s="616"/>
      <c r="ER10" s="616"/>
      <c r="ES10" s="616"/>
      <c r="ET10" s="616"/>
      <c r="EU10" s="616"/>
      <c r="EV10" s="616"/>
      <c r="EW10" s="616"/>
      <c r="EX10" s="616"/>
      <c r="EY10" s="616"/>
      <c r="EZ10" s="616"/>
      <c r="FA10" s="616"/>
      <c r="FB10" s="616"/>
      <c r="FC10" s="616"/>
      <c r="FD10" s="616"/>
      <c r="FE10" s="616"/>
      <c r="FF10" s="616"/>
      <c r="FG10" s="616"/>
      <c r="FH10" s="616"/>
      <c r="FI10" s="616"/>
      <c r="FJ10" s="616"/>
      <c r="FK10" s="616"/>
      <c r="FL10" s="616"/>
      <c r="FM10" s="616"/>
      <c r="FN10" s="616"/>
      <c r="FO10" s="616"/>
      <c r="FP10" s="616"/>
      <c r="FQ10" s="616"/>
      <c r="FR10" s="616"/>
      <c r="FS10" s="616"/>
      <c r="FT10" s="616"/>
      <c r="FU10" s="616"/>
      <c r="FV10" s="616"/>
      <c r="FW10" s="616"/>
      <c r="FX10" s="616"/>
      <c r="FY10" s="616"/>
      <c r="FZ10" s="616"/>
      <c r="GA10" s="616"/>
      <c r="GB10" s="616"/>
      <c r="GC10" s="616"/>
      <c r="GD10" s="616"/>
      <c r="GE10" s="616"/>
      <c r="GF10" s="616"/>
      <c r="GG10" s="616"/>
      <c r="GH10" s="616"/>
      <c r="GI10" s="616"/>
      <c r="GJ10" s="616"/>
      <c r="GK10" s="616"/>
      <c r="GL10" s="616"/>
      <c r="GM10" s="616"/>
      <c r="GN10" s="616"/>
      <c r="GO10" s="616"/>
      <c r="GP10" s="616"/>
      <c r="GQ10" s="616"/>
      <c r="GR10" s="616"/>
      <c r="GS10" s="616"/>
      <c r="GT10" s="616"/>
      <c r="GU10" s="616"/>
      <c r="GV10" s="616"/>
      <c r="GW10" s="616"/>
      <c r="GX10" s="616"/>
      <c r="GY10" s="616"/>
      <c r="GZ10" s="616"/>
      <c r="HA10" s="616"/>
      <c r="HB10" s="616"/>
      <c r="HC10" s="616"/>
      <c r="HD10" s="616"/>
      <c r="HE10" s="616"/>
      <c r="HF10" s="616"/>
      <c r="HG10" s="616"/>
      <c r="HH10" s="616"/>
      <c r="HI10" s="616"/>
      <c r="HJ10" s="616"/>
      <c r="HK10" s="616"/>
      <c r="HL10" s="616"/>
      <c r="HM10" s="616"/>
      <c r="HN10" s="616"/>
      <c r="HO10" s="616"/>
      <c r="HP10" s="616"/>
      <c r="HQ10" s="616"/>
      <c r="HR10" s="616"/>
      <c r="HS10" s="616"/>
      <c r="HT10" s="616"/>
      <c r="HU10" s="616"/>
      <c r="HV10" s="616"/>
      <c r="HW10" s="616"/>
      <c r="HX10" s="616"/>
      <c r="HY10" s="616"/>
      <c r="HZ10" s="616"/>
      <c r="IA10" s="616"/>
      <c r="IB10" s="616"/>
      <c r="IC10" s="616"/>
      <c r="ID10" s="616"/>
      <c r="IE10" s="616"/>
      <c r="IF10" s="616"/>
      <c r="IG10" s="616"/>
      <c r="IH10" s="616"/>
      <c r="II10" s="616"/>
      <c r="IJ10" s="616"/>
      <c r="IK10" s="616"/>
      <c r="IL10" s="616"/>
      <c r="IM10" s="616"/>
      <c r="IN10" s="616"/>
      <c r="IO10" s="616"/>
      <c r="IP10" s="616"/>
      <c r="IQ10" s="616"/>
      <c r="IR10" s="616"/>
      <c r="IS10" s="616"/>
      <c r="IT10" s="616"/>
      <c r="IU10" s="616"/>
      <c r="IV10" s="616"/>
    </row>
    <row r="11" spans="1:256">
      <c r="A11" s="620">
        <v>1</v>
      </c>
      <c r="B11" s="621" t="s">
        <v>892</v>
      </c>
      <c r="C11" s="622"/>
      <c r="D11" s="622"/>
      <c r="E11" s="622" t="s">
        <v>523</v>
      </c>
      <c r="F11" s="618"/>
      <c r="G11" s="616"/>
      <c r="H11" s="446">
        <f>+'OKT WS C-1 ADIT EOY'!H28*0</f>
        <v>0</v>
      </c>
      <c r="I11" s="618"/>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6"/>
      <c r="AK11" s="616"/>
      <c r="AL11" s="616"/>
      <c r="AM11" s="616"/>
      <c r="AN11" s="616"/>
      <c r="AO11" s="616"/>
      <c r="AP11" s="616"/>
      <c r="AQ11" s="616"/>
      <c r="AR11" s="616"/>
      <c r="AS11" s="616"/>
      <c r="AT11" s="616"/>
      <c r="AU11" s="616"/>
      <c r="AV11" s="616"/>
      <c r="AW11" s="616"/>
      <c r="AX11" s="616"/>
      <c r="AY11" s="616"/>
      <c r="AZ11" s="616"/>
      <c r="BA11" s="616"/>
      <c r="BB11" s="616"/>
      <c r="BC11" s="616"/>
      <c r="BD11" s="616"/>
      <c r="BE11" s="616"/>
      <c r="BF11" s="616"/>
      <c r="BG11" s="616"/>
      <c r="BH11" s="616"/>
      <c r="BI11" s="616"/>
      <c r="BJ11" s="616"/>
      <c r="BK11" s="616"/>
      <c r="BL11" s="616"/>
      <c r="BM11" s="616"/>
      <c r="BN11" s="616"/>
      <c r="BO11" s="616"/>
      <c r="BP11" s="616"/>
      <c r="BQ11" s="616"/>
      <c r="BR11" s="616"/>
      <c r="BS11" s="616"/>
      <c r="BT11" s="616"/>
      <c r="BU11" s="616"/>
      <c r="BV11" s="616"/>
      <c r="BW11" s="616"/>
      <c r="BX11" s="616"/>
      <c r="BY11" s="616"/>
      <c r="BZ11" s="616"/>
      <c r="CA11" s="616"/>
      <c r="CB11" s="616"/>
      <c r="CC11" s="616"/>
      <c r="CD11" s="616"/>
      <c r="CE11" s="616"/>
      <c r="CF11" s="616"/>
      <c r="CG11" s="616"/>
      <c r="CH11" s="616"/>
      <c r="CI11" s="616"/>
      <c r="CJ11" s="616"/>
      <c r="CK11" s="616"/>
      <c r="CL11" s="616"/>
      <c r="CM11" s="616"/>
      <c r="CN11" s="616"/>
      <c r="CO11" s="616"/>
      <c r="CP11" s="616"/>
      <c r="CQ11" s="616"/>
      <c r="CR11" s="616"/>
      <c r="CS11" s="616"/>
      <c r="CT11" s="616"/>
      <c r="CU11" s="616"/>
      <c r="CV11" s="616"/>
      <c r="CW11" s="616"/>
      <c r="CX11" s="616"/>
      <c r="CY11" s="616"/>
      <c r="CZ11" s="616"/>
      <c r="DA11" s="616"/>
      <c r="DB11" s="616"/>
      <c r="DC11" s="616"/>
      <c r="DD11" s="616"/>
      <c r="DE11" s="616"/>
      <c r="DF11" s="616"/>
      <c r="DG11" s="616"/>
      <c r="DH11" s="616"/>
      <c r="DI11" s="616"/>
      <c r="DJ11" s="616"/>
      <c r="DK11" s="616"/>
      <c r="DL11" s="616"/>
      <c r="DM11" s="616"/>
      <c r="DN11" s="616"/>
      <c r="DO11" s="616"/>
      <c r="DP11" s="616"/>
      <c r="DQ11" s="616"/>
      <c r="DR11" s="616"/>
      <c r="DS11" s="616"/>
      <c r="DT11" s="616"/>
      <c r="DU11" s="616"/>
      <c r="DV11" s="616"/>
      <c r="DW11" s="616"/>
      <c r="DX11" s="616"/>
      <c r="DY11" s="616"/>
      <c r="DZ11" s="616"/>
      <c r="EA11" s="616"/>
      <c r="EB11" s="616"/>
      <c r="EC11" s="616"/>
      <c r="ED11" s="616"/>
      <c r="EE11" s="616"/>
      <c r="EF11" s="616"/>
      <c r="EG11" s="616"/>
      <c r="EH11" s="616"/>
      <c r="EI11" s="616"/>
      <c r="EJ11" s="616"/>
      <c r="EK11" s="616"/>
      <c r="EL11" s="616"/>
      <c r="EM11" s="616"/>
      <c r="EN11" s="616"/>
      <c r="EO11" s="616"/>
      <c r="EP11" s="616"/>
      <c r="EQ11" s="616"/>
      <c r="ER11" s="616"/>
      <c r="ES11" s="616"/>
      <c r="ET11" s="616"/>
      <c r="EU11" s="616"/>
      <c r="EV11" s="616"/>
      <c r="EW11" s="616"/>
      <c r="EX11" s="616"/>
      <c r="EY11" s="616"/>
      <c r="EZ11" s="616"/>
      <c r="FA11" s="616"/>
      <c r="FB11" s="616"/>
      <c r="FC11" s="616"/>
      <c r="FD11" s="616"/>
      <c r="FE11" s="616"/>
      <c r="FF11" s="616"/>
      <c r="FG11" s="616"/>
      <c r="FH11" s="616"/>
      <c r="FI11" s="616"/>
      <c r="FJ11" s="616"/>
      <c r="FK11" s="616"/>
      <c r="FL11" s="616"/>
      <c r="FM11" s="616"/>
      <c r="FN11" s="616"/>
      <c r="FO11" s="616"/>
      <c r="FP11" s="616"/>
      <c r="FQ11" s="616"/>
      <c r="FR11" s="616"/>
      <c r="FS11" s="616"/>
      <c r="FT11" s="616"/>
      <c r="FU11" s="616"/>
      <c r="FV11" s="616"/>
      <c r="FW11" s="616"/>
      <c r="FX11" s="616"/>
      <c r="FY11" s="616"/>
      <c r="FZ11" s="616"/>
      <c r="GA11" s="616"/>
      <c r="GB11" s="616"/>
      <c r="GC11" s="616"/>
      <c r="GD11" s="616"/>
      <c r="GE11" s="616"/>
      <c r="GF11" s="616"/>
      <c r="GG11" s="616"/>
      <c r="GH11" s="616"/>
      <c r="GI11" s="616"/>
      <c r="GJ11" s="616"/>
      <c r="GK11" s="616"/>
      <c r="GL11" s="616"/>
      <c r="GM11" s="616"/>
      <c r="GN11" s="616"/>
      <c r="GO11" s="616"/>
      <c r="GP11" s="616"/>
      <c r="GQ11" s="616"/>
      <c r="GR11" s="616"/>
      <c r="GS11" s="616"/>
      <c r="GT11" s="616"/>
      <c r="GU11" s="616"/>
      <c r="GV11" s="616"/>
      <c r="GW11" s="616"/>
      <c r="GX11" s="616"/>
      <c r="GY11" s="616"/>
      <c r="GZ11" s="616"/>
      <c r="HA11" s="616"/>
      <c r="HB11" s="616"/>
      <c r="HC11" s="616"/>
      <c r="HD11" s="616"/>
      <c r="HE11" s="616"/>
      <c r="HF11" s="616"/>
      <c r="HG11" s="616"/>
      <c r="HH11" s="616"/>
      <c r="HI11" s="616"/>
      <c r="HJ11" s="616"/>
      <c r="HK11" s="616"/>
      <c r="HL11" s="616"/>
      <c r="HM11" s="616"/>
      <c r="HN11" s="616"/>
      <c r="HO11" s="616"/>
      <c r="HP11" s="616"/>
      <c r="HQ11" s="616"/>
      <c r="HR11" s="616"/>
      <c r="HS11" s="616"/>
      <c r="HT11" s="616"/>
      <c r="HU11" s="616"/>
      <c r="HV11" s="616"/>
      <c r="HW11" s="616"/>
      <c r="HX11" s="616"/>
      <c r="HY11" s="616"/>
      <c r="HZ11" s="616"/>
      <c r="IA11" s="616"/>
      <c r="IB11" s="616"/>
      <c r="IC11" s="616"/>
      <c r="ID11" s="616"/>
      <c r="IE11" s="616"/>
      <c r="IF11" s="616"/>
      <c r="IG11" s="616"/>
      <c r="IH11" s="616"/>
      <c r="II11" s="616"/>
      <c r="IJ11" s="616"/>
      <c r="IK11" s="616"/>
      <c r="IL11" s="616"/>
      <c r="IM11" s="616"/>
      <c r="IN11" s="616"/>
      <c r="IO11" s="616"/>
      <c r="IP11" s="616"/>
      <c r="IQ11" s="616"/>
      <c r="IR11" s="616"/>
      <c r="IS11" s="616"/>
      <c r="IT11" s="616"/>
      <c r="IU11" s="616"/>
      <c r="IV11" s="616"/>
    </row>
    <row r="12" spans="1:256">
      <c r="A12" s="620">
        <f>+A11+1</f>
        <v>2</v>
      </c>
      <c r="B12" s="621" t="s">
        <v>893</v>
      </c>
      <c r="C12" s="622"/>
      <c r="D12" s="622"/>
      <c r="E12" s="622" t="s">
        <v>524</v>
      </c>
      <c r="F12" s="618"/>
      <c r="G12" s="616"/>
      <c r="H12" s="446">
        <f>+'OKT WS C-2 ADIT BOY'!H2583</f>
        <v>0</v>
      </c>
      <c r="I12" s="618"/>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616"/>
      <c r="AJ12" s="616"/>
      <c r="AK12" s="616"/>
      <c r="AL12" s="616"/>
      <c r="AM12" s="616"/>
      <c r="AN12" s="616"/>
      <c r="AO12" s="616"/>
      <c r="AP12" s="616"/>
      <c r="AQ12" s="616"/>
      <c r="AR12" s="616"/>
      <c r="AS12" s="616"/>
      <c r="AT12" s="616"/>
      <c r="AU12" s="616"/>
      <c r="AV12" s="616"/>
      <c r="AW12" s="616"/>
      <c r="AX12" s="616"/>
      <c r="AY12" s="616"/>
      <c r="AZ12" s="616"/>
      <c r="BA12" s="616"/>
      <c r="BB12" s="616"/>
      <c r="BC12" s="616"/>
      <c r="BD12" s="616"/>
      <c r="BE12" s="616"/>
      <c r="BF12" s="616"/>
      <c r="BG12" s="616"/>
      <c r="BH12" s="616"/>
      <c r="BI12" s="616"/>
      <c r="BJ12" s="616"/>
      <c r="BK12" s="616"/>
      <c r="BL12" s="616"/>
      <c r="BM12" s="616"/>
      <c r="BN12" s="616"/>
      <c r="BO12" s="616"/>
      <c r="BP12" s="616"/>
      <c r="BQ12" s="616"/>
      <c r="BR12" s="616"/>
      <c r="BS12" s="616"/>
      <c r="BT12" s="616"/>
      <c r="BU12" s="616"/>
      <c r="BV12" s="616"/>
      <c r="BW12" s="616"/>
      <c r="BX12" s="616"/>
      <c r="BY12" s="616"/>
      <c r="BZ12" s="616"/>
      <c r="CA12" s="616"/>
      <c r="CB12" s="616"/>
      <c r="CC12" s="616"/>
      <c r="CD12" s="616"/>
      <c r="CE12" s="616"/>
      <c r="CF12" s="616"/>
      <c r="CG12" s="616"/>
      <c r="CH12" s="616"/>
      <c r="CI12" s="616"/>
      <c r="CJ12" s="616"/>
      <c r="CK12" s="616"/>
      <c r="CL12" s="616"/>
      <c r="CM12" s="616"/>
      <c r="CN12" s="616"/>
      <c r="CO12" s="616"/>
      <c r="CP12" s="616"/>
      <c r="CQ12" s="616"/>
      <c r="CR12" s="616"/>
      <c r="CS12" s="616"/>
      <c r="CT12" s="616"/>
      <c r="CU12" s="616"/>
      <c r="CV12" s="616"/>
      <c r="CW12" s="616"/>
      <c r="CX12" s="616"/>
      <c r="CY12" s="616"/>
      <c r="CZ12" s="616"/>
      <c r="DA12" s="616"/>
      <c r="DB12" s="616"/>
      <c r="DC12" s="616"/>
      <c r="DD12" s="616"/>
      <c r="DE12" s="616"/>
      <c r="DF12" s="616"/>
      <c r="DG12" s="616"/>
      <c r="DH12" s="616"/>
      <c r="DI12" s="616"/>
      <c r="DJ12" s="616"/>
      <c r="DK12" s="616"/>
      <c r="DL12" s="616"/>
      <c r="DM12" s="616"/>
      <c r="DN12" s="616"/>
      <c r="DO12" s="616"/>
      <c r="DP12" s="616"/>
      <c r="DQ12" s="616"/>
      <c r="DR12" s="616"/>
      <c r="DS12" s="616"/>
      <c r="DT12" s="616"/>
      <c r="DU12" s="616"/>
      <c r="DV12" s="616"/>
      <c r="DW12" s="616"/>
      <c r="DX12" s="616"/>
      <c r="DY12" s="616"/>
      <c r="DZ12" s="616"/>
      <c r="EA12" s="616"/>
      <c r="EB12" s="616"/>
      <c r="EC12" s="616"/>
      <c r="ED12" s="616"/>
      <c r="EE12" s="616"/>
      <c r="EF12" s="616"/>
      <c r="EG12" s="616"/>
      <c r="EH12" s="616"/>
      <c r="EI12" s="616"/>
      <c r="EJ12" s="616"/>
      <c r="EK12" s="616"/>
      <c r="EL12" s="616"/>
      <c r="EM12" s="616"/>
      <c r="EN12" s="616"/>
      <c r="EO12" s="616"/>
      <c r="EP12" s="616"/>
      <c r="EQ12" s="616"/>
      <c r="ER12" s="616"/>
      <c r="ES12" s="616"/>
      <c r="ET12" s="616"/>
      <c r="EU12" s="616"/>
      <c r="EV12" s="616"/>
      <c r="EW12" s="616"/>
      <c r="EX12" s="616"/>
      <c r="EY12" s="616"/>
      <c r="EZ12" s="616"/>
      <c r="FA12" s="616"/>
      <c r="FB12" s="616"/>
      <c r="FC12" s="616"/>
      <c r="FD12" s="616"/>
      <c r="FE12" s="616"/>
      <c r="FF12" s="616"/>
      <c r="FG12" s="616"/>
      <c r="FH12" s="616"/>
      <c r="FI12" s="616"/>
      <c r="FJ12" s="616"/>
      <c r="FK12" s="616"/>
      <c r="FL12" s="616"/>
      <c r="FM12" s="616"/>
      <c r="FN12" s="616"/>
      <c r="FO12" s="616"/>
      <c r="FP12" s="616"/>
      <c r="FQ12" s="616"/>
      <c r="FR12" s="616"/>
      <c r="FS12" s="616"/>
      <c r="FT12" s="616"/>
      <c r="FU12" s="616"/>
      <c r="FV12" s="616"/>
      <c r="FW12" s="616"/>
      <c r="FX12" s="616"/>
      <c r="FY12" s="616"/>
      <c r="FZ12" s="616"/>
      <c r="GA12" s="616"/>
      <c r="GB12" s="616"/>
      <c r="GC12" s="616"/>
      <c r="GD12" s="616"/>
      <c r="GE12" s="616"/>
      <c r="GF12" s="616"/>
      <c r="GG12" s="616"/>
      <c r="GH12" s="616"/>
      <c r="GI12" s="616"/>
      <c r="GJ12" s="616"/>
      <c r="GK12" s="616"/>
      <c r="GL12" s="616"/>
      <c r="GM12" s="616"/>
      <c r="GN12" s="616"/>
      <c r="GO12" s="616"/>
      <c r="GP12" s="616"/>
      <c r="GQ12" s="616"/>
      <c r="GR12" s="616"/>
      <c r="GS12" s="616"/>
      <c r="GT12" s="616"/>
      <c r="GU12" s="616"/>
      <c r="GV12" s="616"/>
      <c r="GW12" s="616"/>
      <c r="GX12" s="616"/>
      <c r="GY12" s="616"/>
      <c r="GZ12" s="616"/>
      <c r="HA12" s="616"/>
      <c r="HB12" s="616"/>
      <c r="HC12" s="616"/>
      <c r="HD12" s="616"/>
      <c r="HE12" s="616"/>
      <c r="HF12" s="616"/>
      <c r="HG12" s="616"/>
      <c r="HH12" s="616"/>
      <c r="HI12" s="616"/>
      <c r="HJ12" s="616"/>
      <c r="HK12" s="616"/>
      <c r="HL12" s="616"/>
      <c r="HM12" s="616"/>
      <c r="HN12" s="616"/>
      <c r="HO12" s="616"/>
      <c r="HP12" s="616"/>
      <c r="HQ12" s="616"/>
      <c r="HR12" s="616"/>
      <c r="HS12" s="616"/>
      <c r="HT12" s="616"/>
      <c r="HU12" s="616"/>
      <c r="HV12" s="616"/>
      <c r="HW12" s="616"/>
      <c r="HX12" s="616"/>
      <c r="HY12" s="616"/>
      <c r="HZ12" s="616"/>
      <c r="IA12" s="616"/>
      <c r="IB12" s="616"/>
      <c r="IC12" s="616"/>
      <c r="ID12" s="616"/>
      <c r="IE12" s="616"/>
      <c r="IF12" s="616"/>
      <c r="IG12" s="616"/>
      <c r="IH12" s="616"/>
      <c r="II12" s="616"/>
      <c r="IJ12" s="616"/>
      <c r="IK12" s="616"/>
      <c r="IL12" s="616"/>
      <c r="IM12" s="616"/>
      <c r="IN12" s="616"/>
      <c r="IO12" s="616"/>
      <c r="IP12" s="616"/>
      <c r="IQ12" s="616"/>
      <c r="IR12" s="616"/>
      <c r="IS12" s="616"/>
      <c r="IT12" s="616"/>
      <c r="IU12" s="616"/>
      <c r="IV12" s="616"/>
    </row>
    <row r="13" spans="1:256">
      <c r="A13" s="620">
        <f>+A12+1</f>
        <v>3</v>
      </c>
      <c r="B13" s="622" t="s">
        <v>507</v>
      </c>
      <c r="C13" s="622"/>
      <c r="D13" s="622"/>
      <c r="E13" s="622" t="str">
        <f>"Line "&amp;A11&amp;" less Line "&amp;A12</f>
        <v>Line 1 less Line 2</v>
      </c>
      <c r="F13" s="618"/>
      <c r="G13" s="616"/>
      <c r="H13" s="623">
        <f>+H11-H12</f>
        <v>0</v>
      </c>
      <c r="I13" s="618"/>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616"/>
      <c r="AJ13" s="616"/>
      <c r="AK13" s="616"/>
      <c r="AL13" s="616"/>
      <c r="AM13" s="616"/>
      <c r="AN13" s="616"/>
      <c r="AO13" s="616"/>
      <c r="AP13" s="616"/>
      <c r="AQ13" s="616"/>
      <c r="AR13" s="616"/>
      <c r="AS13" s="616"/>
      <c r="AT13" s="616"/>
      <c r="AU13" s="616"/>
      <c r="AV13" s="616"/>
      <c r="AW13" s="616"/>
      <c r="AX13" s="616"/>
      <c r="AY13" s="616"/>
      <c r="AZ13" s="616"/>
      <c r="BA13" s="616"/>
      <c r="BB13" s="616"/>
      <c r="BC13" s="616"/>
      <c r="BD13" s="616"/>
      <c r="BE13" s="616"/>
      <c r="BF13" s="616"/>
      <c r="BG13" s="616"/>
      <c r="BH13" s="616"/>
      <c r="BI13" s="616"/>
      <c r="BJ13" s="616"/>
      <c r="BK13" s="616"/>
      <c r="BL13" s="616"/>
      <c r="BM13" s="616"/>
      <c r="BN13" s="616"/>
      <c r="BO13" s="616"/>
      <c r="BP13" s="616"/>
      <c r="BQ13" s="616"/>
      <c r="BR13" s="616"/>
      <c r="BS13" s="616"/>
      <c r="BT13" s="616"/>
      <c r="BU13" s="616"/>
      <c r="BV13" s="616"/>
      <c r="BW13" s="616"/>
      <c r="BX13" s="616"/>
      <c r="BY13" s="616"/>
      <c r="BZ13" s="616"/>
      <c r="CA13" s="616"/>
      <c r="CB13" s="616"/>
      <c r="CC13" s="616"/>
      <c r="CD13" s="616"/>
      <c r="CE13" s="616"/>
      <c r="CF13" s="616"/>
      <c r="CG13" s="616"/>
      <c r="CH13" s="616"/>
      <c r="CI13" s="616"/>
      <c r="CJ13" s="616"/>
      <c r="CK13" s="616"/>
      <c r="CL13" s="616"/>
      <c r="CM13" s="616"/>
      <c r="CN13" s="616"/>
      <c r="CO13" s="616"/>
      <c r="CP13" s="616"/>
      <c r="CQ13" s="616"/>
      <c r="CR13" s="616"/>
      <c r="CS13" s="616"/>
      <c r="CT13" s="616"/>
      <c r="CU13" s="616"/>
      <c r="CV13" s="616"/>
      <c r="CW13" s="616"/>
      <c r="CX13" s="616"/>
      <c r="CY13" s="616"/>
      <c r="CZ13" s="616"/>
      <c r="DA13" s="616"/>
      <c r="DB13" s="616"/>
      <c r="DC13" s="616"/>
      <c r="DD13" s="616"/>
      <c r="DE13" s="616"/>
      <c r="DF13" s="616"/>
      <c r="DG13" s="616"/>
      <c r="DH13" s="616"/>
      <c r="DI13" s="616"/>
      <c r="DJ13" s="616"/>
      <c r="DK13" s="616"/>
      <c r="DL13" s="616"/>
      <c r="DM13" s="616"/>
      <c r="DN13" s="616"/>
      <c r="DO13" s="616"/>
      <c r="DP13" s="616"/>
      <c r="DQ13" s="616"/>
      <c r="DR13" s="616"/>
      <c r="DS13" s="616"/>
      <c r="DT13" s="616"/>
      <c r="DU13" s="616"/>
      <c r="DV13" s="616"/>
      <c r="DW13" s="616"/>
      <c r="DX13" s="616"/>
      <c r="DY13" s="616"/>
      <c r="DZ13" s="616"/>
      <c r="EA13" s="616"/>
      <c r="EB13" s="616"/>
      <c r="EC13" s="616"/>
      <c r="ED13" s="616"/>
      <c r="EE13" s="616"/>
      <c r="EF13" s="616"/>
      <c r="EG13" s="616"/>
      <c r="EH13" s="616"/>
      <c r="EI13" s="616"/>
      <c r="EJ13" s="616"/>
      <c r="EK13" s="616"/>
      <c r="EL13" s="616"/>
      <c r="EM13" s="616"/>
      <c r="EN13" s="616"/>
      <c r="EO13" s="616"/>
      <c r="EP13" s="616"/>
      <c r="EQ13" s="616"/>
      <c r="ER13" s="616"/>
      <c r="ES13" s="616"/>
      <c r="ET13" s="616"/>
      <c r="EU13" s="616"/>
      <c r="EV13" s="616"/>
      <c r="EW13" s="616"/>
      <c r="EX13" s="616"/>
      <c r="EY13" s="616"/>
      <c r="EZ13" s="616"/>
      <c r="FA13" s="616"/>
      <c r="FB13" s="616"/>
      <c r="FC13" s="616"/>
      <c r="FD13" s="616"/>
      <c r="FE13" s="616"/>
      <c r="FF13" s="616"/>
      <c r="FG13" s="616"/>
      <c r="FH13" s="616"/>
      <c r="FI13" s="616"/>
      <c r="FJ13" s="616"/>
      <c r="FK13" s="616"/>
      <c r="FL13" s="616"/>
      <c r="FM13" s="616"/>
      <c r="FN13" s="616"/>
      <c r="FO13" s="616"/>
      <c r="FP13" s="616"/>
      <c r="FQ13" s="616"/>
      <c r="FR13" s="616"/>
      <c r="FS13" s="616"/>
      <c r="FT13" s="616"/>
      <c r="FU13" s="616"/>
      <c r="FV13" s="616"/>
      <c r="FW13" s="616"/>
      <c r="FX13" s="616"/>
      <c r="FY13" s="616"/>
      <c r="FZ13" s="616"/>
      <c r="GA13" s="616"/>
      <c r="GB13" s="616"/>
      <c r="GC13" s="616"/>
      <c r="GD13" s="616"/>
      <c r="GE13" s="616"/>
      <c r="GF13" s="616"/>
      <c r="GG13" s="616"/>
      <c r="GH13" s="616"/>
      <c r="GI13" s="616"/>
      <c r="GJ13" s="616"/>
      <c r="GK13" s="616"/>
      <c r="GL13" s="616"/>
      <c r="GM13" s="616"/>
      <c r="GN13" s="616"/>
      <c r="GO13" s="616"/>
      <c r="GP13" s="616"/>
      <c r="GQ13" s="616"/>
      <c r="GR13" s="616"/>
      <c r="GS13" s="616"/>
      <c r="GT13" s="616"/>
      <c r="GU13" s="616"/>
      <c r="GV13" s="616"/>
      <c r="GW13" s="616"/>
      <c r="GX13" s="616"/>
      <c r="GY13" s="616"/>
      <c r="GZ13" s="616"/>
      <c r="HA13" s="616"/>
      <c r="HB13" s="616"/>
      <c r="HC13" s="616"/>
      <c r="HD13" s="616"/>
      <c r="HE13" s="616"/>
      <c r="HF13" s="616"/>
      <c r="HG13" s="616"/>
      <c r="HH13" s="616"/>
      <c r="HI13" s="616"/>
      <c r="HJ13" s="616"/>
      <c r="HK13" s="616"/>
      <c r="HL13" s="616"/>
      <c r="HM13" s="616"/>
      <c r="HN13" s="616"/>
      <c r="HO13" s="616"/>
      <c r="HP13" s="616"/>
      <c r="HQ13" s="616"/>
      <c r="HR13" s="616"/>
      <c r="HS13" s="616"/>
      <c r="HT13" s="616"/>
      <c r="HU13" s="616"/>
      <c r="HV13" s="616"/>
      <c r="HW13" s="616"/>
      <c r="HX13" s="616"/>
      <c r="HY13" s="616"/>
      <c r="HZ13" s="616"/>
      <c r="IA13" s="616"/>
      <c r="IB13" s="616"/>
      <c r="IC13" s="616"/>
      <c r="ID13" s="616"/>
      <c r="IE13" s="616"/>
      <c r="IF13" s="616"/>
      <c r="IG13" s="616"/>
      <c r="IH13" s="616"/>
      <c r="II13" s="616"/>
      <c r="IJ13" s="616"/>
      <c r="IK13" s="616"/>
      <c r="IL13" s="616"/>
      <c r="IM13" s="616"/>
      <c r="IN13" s="616"/>
      <c r="IO13" s="616"/>
      <c r="IP13" s="616"/>
      <c r="IQ13" s="616"/>
      <c r="IR13" s="616"/>
      <c r="IS13" s="616"/>
      <c r="IT13" s="616"/>
      <c r="IU13" s="616"/>
      <c r="IV13" s="616"/>
    </row>
    <row r="14" spans="1:256">
      <c r="A14" s="620">
        <f>+A13+1</f>
        <v>4</v>
      </c>
      <c r="B14" s="622" t="s">
        <v>508</v>
      </c>
      <c r="C14" s="622"/>
      <c r="D14" s="622"/>
      <c r="E14" s="622" t="str">
        <f>"Line "&amp;A13&amp;" / 12"</f>
        <v>Line 3 / 12</v>
      </c>
      <c r="F14" s="618"/>
      <c r="G14" s="616"/>
      <c r="H14" s="624">
        <f>+H13/12</f>
        <v>0</v>
      </c>
      <c r="I14" s="618"/>
      <c r="J14" s="616"/>
      <c r="K14" s="616"/>
      <c r="L14" s="616"/>
      <c r="M14" s="616"/>
      <c r="N14" s="616"/>
      <c r="O14" s="616"/>
      <c r="P14" s="616"/>
      <c r="Q14" s="616"/>
      <c r="R14" s="616"/>
      <c r="S14" s="616"/>
      <c r="T14" s="616"/>
      <c r="U14" s="616"/>
      <c r="V14" s="616"/>
      <c r="W14" s="616"/>
      <c r="X14" s="616"/>
      <c r="Y14" s="616"/>
      <c r="Z14" s="616"/>
      <c r="AA14" s="616"/>
      <c r="AB14" s="616"/>
      <c r="AC14" s="616"/>
      <c r="AD14" s="616"/>
      <c r="AE14" s="616"/>
      <c r="AF14" s="616"/>
      <c r="AG14" s="616"/>
      <c r="AH14" s="616"/>
      <c r="AI14" s="616"/>
      <c r="AJ14" s="616"/>
      <c r="AK14" s="616"/>
      <c r="AL14" s="616"/>
      <c r="AM14" s="616"/>
      <c r="AN14" s="616"/>
      <c r="AO14" s="616"/>
      <c r="AP14" s="616"/>
      <c r="AQ14" s="616"/>
      <c r="AR14" s="616"/>
      <c r="AS14" s="616"/>
      <c r="AT14" s="616"/>
      <c r="AU14" s="616"/>
      <c r="AV14" s="616"/>
      <c r="AW14" s="616"/>
      <c r="AX14" s="616"/>
      <c r="AY14" s="616"/>
      <c r="AZ14" s="616"/>
      <c r="BA14" s="616"/>
      <c r="BB14" s="616"/>
      <c r="BC14" s="616"/>
      <c r="BD14" s="616"/>
      <c r="BE14" s="616"/>
      <c r="BF14" s="616"/>
      <c r="BG14" s="616"/>
      <c r="BH14" s="616"/>
      <c r="BI14" s="616"/>
      <c r="BJ14" s="616"/>
      <c r="BK14" s="616"/>
      <c r="BL14" s="616"/>
      <c r="BM14" s="616"/>
      <c r="BN14" s="616"/>
      <c r="BO14" s="616"/>
      <c r="BP14" s="616"/>
      <c r="BQ14" s="616"/>
      <c r="BR14" s="616"/>
      <c r="BS14" s="616"/>
      <c r="BT14" s="616"/>
      <c r="BU14" s="616"/>
      <c r="BV14" s="616"/>
      <c r="BW14" s="616"/>
      <c r="BX14" s="616"/>
      <c r="BY14" s="616"/>
      <c r="BZ14" s="616"/>
      <c r="CA14" s="616"/>
      <c r="CB14" s="616"/>
      <c r="CC14" s="616"/>
      <c r="CD14" s="616"/>
      <c r="CE14" s="616"/>
      <c r="CF14" s="616"/>
      <c r="CG14" s="616"/>
      <c r="CH14" s="616"/>
      <c r="CI14" s="616"/>
      <c r="CJ14" s="616"/>
      <c r="CK14" s="616"/>
      <c r="CL14" s="616"/>
      <c r="CM14" s="616"/>
      <c r="CN14" s="616"/>
      <c r="CO14" s="616"/>
      <c r="CP14" s="616"/>
      <c r="CQ14" s="616"/>
      <c r="CR14" s="616"/>
      <c r="CS14" s="616"/>
      <c r="CT14" s="616"/>
      <c r="CU14" s="616"/>
      <c r="CV14" s="616"/>
      <c r="CW14" s="616"/>
      <c r="CX14" s="616"/>
      <c r="CY14" s="616"/>
      <c r="CZ14" s="616"/>
      <c r="DA14" s="616"/>
      <c r="DB14" s="616"/>
      <c r="DC14" s="616"/>
      <c r="DD14" s="616"/>
      <c r="DE14" s="616"/>
      <c r="DF14" s="616"/>
      <c r="DG14" s="616"/>
      <c r="DH14" s="616"/>
      <c r="DI14" s="616"/>
      <c r="DJ14" s="616"/>
      <c r="DK14" s="616"/>
      <c r="DL14" s="616"/>
      <c r="DM14" s="616"/>
      <c r="DN14" s="616"/>
      <c r="DO14" s="616"/>
      <c r="DP14" s="616"/>
      <c r="DQ14" s="616"/>
      <c r="DR14" s="616"/>
      <c r="DS14" s="616"/>
      <c r="DT14" s="616"/>
      <c r="DU14" s="616"/>
      <c r="DV14" s="616"/>
      <c r="DW14" s="616"/>
      <c r="DX14" s="616"/>
      <c r="DY14" s="616"/>
      <c r="DZ14" s="616"/>
      <c r="EA14" s="616"/>
      <c r="EB14" s="616"/>
      <c r="EC14" s="616"/>
      <c r="ED14" s="616"/>
      <c r="EE14" s="616"/>
      <c r="EF14" s="616"/>
      <c r="EG14" s="616"/>
      <c r="EH14" s="616"/>
      <c r="EI14" s="616"/>
      <c r="EJ14" s="616"/>
      <c r="EK14" s="616"/>
      <c r="EL14" s="616"/>
      <c r="EM14" s="616"/>
      <c r="EN14" s="616"/>
      <c r="EO14" s="616"/>
      <c r="EP14" s="616"/>
      <c r="EQ14" s="616"/>
      <c r="ER14" s="616"/>
      <c r="ES14" s="616"/>
      <c r="ET14" s="616"/>
      <c r="EU14" s="616"/>
      <c r="EV14" s="616"/>
      <c r="EW14" s="616"/>
      <c r="EX14" s="616"/>
      <c r="EY14" s="616"/>
      <c r="EZ14" s="616"/>
      <c r="FA14" s="616"/>
      <c r="FB14" s="616"/>
      <c r="FC14" s="616"/>
      <c r="FD14" s="616"/>
      <c r="FE14" s="616"/>
      <c r="FF14" s="616"/>
      <c r="FG14" s="616"/>
      <c r="FH14" s="616"/>
      <c r="FI14" s="616"/>
      <c r="FJ14" s="616"/>
      <c r="FK14" s="616"/>
      <c r="FL14" s="616"/>
      <c r="FM14" s="616"/>
      <c r="FN14" s="616"/>
      <c r="FO14" s="616"/>
      <c r="FP14" s="616"/>
      <c r="FQ14" s="616"/>
      <c r="FR14" s="616"/>
      <c r="FS14" s="616"/>
      <c r="FT14" s="616"/>
      <c r="FU14" s="616"/>
      <c r="FV14" s="616"/>
      <c r="FW14" s="616"/>
      <c r="FX14" s="616"/>
      <c r="FY14" s="616"/>
      <c r="FZ14" s="616"/>
      <c r="GA14" s="616"/>
      <c r="GB14" s="616"/>
      <c r="GC14" s="616"/>
      <c r="GD14" s="616"/>
      <c r="GE14" s="616"/>
      <c r="GF14" s="616"/>
      <c r="GG14" s="616"/>
      <c r="GH14" s="616"/>
      <c r="GI14" s="616"/>
      <c r="GJ14" s="616"/>
      <c r="GK14" s="616"/>
      <c r="GL14" s="616"/>
      <c r="GM14" s="616"/>
      <c r="GN14" s="616"/>
      <c r="GO14" s="616"/>
      <c r="GP14" s="616"/>
      <c r="GQ14" s="616"/>
      <c r="GR14" s="616"/>
      <c r="GS14" s="616"/>
      <c r="GT14" s="616"/>
      <c r="GU14" s="616"/>
      <c r="GV14" s="616"/>
      <c r="GW14" s="616"/>
      <c r="GX14" s="616"/>
      <c r="GY14" s="616"/>
      <c r="GZ14" s="616"/>
      <c r="HA14" s="616"/>
      <c r="HB14" s="616"/>
      <c r="HC14" s="616"/>
      <c r="HD14" s="616"/>
      <c r="HE14" s="616"/>
      <c r="HF14" s="616"/>
      <c r="HG14" s="616"/>
      <c r="HH14" s="616"/>
      <c r="HI14" s="616"/>
      <c r="HJ14" s="616"/>
      <c r="HK14" s="616"/>
      <c r="HL14" s="616"/>
      <c r="HM14" s="616"/>
      <c r="HN14" s="616"/>
      <c r="HO14" s="616"/>
      <c r="HP14" s="616"/>
      <c r="HQ14" s="616"/>
      <c r="HR14" s="616"/>
      <c r="HS14" s="616"/>
      <c r="HT14" s="616"/>
      <c r="HU14" s="616"/>
      <c r="HV14" s="616"/>
      <c r="HW14" s="616"/>
      <c r="HX14" s="616"/>
      <c r="HY14" s="616"/>
      <c r="HZ14" s="616"/>
      <c r="IA14" s="616"/>
      <c r="IB14" s="616"/>
      <c r="IC14" s="616"/>
      <c r="ID14" s="616"/>
      <c r="IE14" s="616"/>
      <c r="IF14" s="616"/>
      <c r="IG14" s="616"/>
      <c r="IH14" s="616"/>
      <c r="II14" s="616"/>
      <c r="IJ14" s="616"/>
      <c r="IK14" s="616"/>
      <c r="IL14" s="616"/>
      <c r="IM14" s="616"/>
      <c r="IN14" s="616"/>
      <c r="IO14" s="616"/>
      <c r="IP14" s="616"/>
      <c r="IQ14" s="616"/>
      <c r="IR14" s="616"/>
      <c r="IS14" s="616"/>
      <c r="IT14" s="616"/>
      <c r="IU14" s="616"/>
      <c r="IV14" s="616"/>
    </row>
    <row r="15" spans="1:256">
      <c r="A15" s="622"/>
      <c r="B15" s="622"/>
      <c r="C15" s="622"/>
      <c r="D15" s="622"/>
      <c r="E15" s="618"/>
      <c r="F15" s="618"/>
      <c r="G15" s="618"/>
      <c r="H15" s="618"/>
      <c r="I15" s="618"/>
      <c r="J15" s="616"/>
      <c r="K15" s="616"/>
      <c r="L15" s="616"/>
      <c r="M15" s="616"/>
      <c r="N15" s="616"/>
      <c r="O15" s="616"/>
      <c r="P15" s="616"/>
      <c r="Q15" s="616"/>
      <c r="R15" s="616"/>
      <c r="S15" s="616"/>
      <c r="T15" s="616"/>
      <c r="U15" s="616"/>
      <c r="V15" s="616"/>
      <c r="W15" s="616"/>
      <c r="X15" s="616"/>
      <c r="Y15" s="616"/>
      <c r="Z15" s="616"/>
      <c r="AA15" s="616"/>
      <c r="AB15" s="616"/>
      <c r="AC15" s="616"/>
      <c r="AD15" s="616"/>
      <c r="AE15" s="616"/>
      <c r="AF15" s="616"/>
      <c r="AG15" s="616"/>
      <c r="AH15" s="616"/>
      <c r="AI15" s="616"/>
      <c r="AJ15" s="616"/>
      <c r="AK15" s="616"/>
      <c r="AL15" s="616"/>
      <c r="AM15" s="616"/>
      <c r="AN15" s="616"/>
      <c r="AO15" s="616"/>
      <c r="AP15" s="616"/>
      <c r="AQ15" s="616"/>
      <c r="AR15" s="616"/>
      <c r="AS15" s="616"/>
      <c r="AT15" s="616"/>
      <c r="AU15" s="616"/>
      <c r="AV15" s="616"/>
      <c r="AW15" s="616"/>
      <c r="AX15" s="616"/>
      <c r="AY15" s="616"/>
      <c r="AZ15" s="616"/>
      <c r="BA15" s="616"/>
      <c r="BB15" s="616"/>
      <c r="BC15" s="616"/>
      <c r="BD15" s="616"/>
      <c r="BE15" s="616"/>
      <c r="BF15" s="616"/>
      <c r="BG15" s="616"/>
      <c r="BH15" s="616"/>
      <c r="BI15" s="616"/>
      <c r="BJ15" s="616"/>
      <c r="BK15" s="616"/>
      <c r="BL15" s="616"/>
      <c r="BM15" s="616"/>
      <c r="BN15" s="616"/>
      <c r="BO15" s="616"/>
      <c r="BP15" s="616"/>
      <c r="BQ15" s="616"/>
      <c r="BR15" s="616"/>
      <c r="BS15" s="616"/>
      <c r="BT15" s="616"/>
      <c r="BU15" s="616"/>
      <c r="BV15" s="616"/>
      <c r="BW15" s="616"/>
      <c r="BX15" s="616"/>
      <c r="BY15" s="616"/>
      <c r="BZ15" s="616"/>
      <c r="CA15" s="616"/>
      <c r="CB15" s="616"/>
      <c r="CC15" s="616"/>
      <c r="CD15" s="616"/>
      <c r="CE15" s="616"/>
      <c r="CF15" s="616"/>
      <c r="CG15" s="616"/>
      <c r="CH15" s="616"/>
      <c r="CI15" s="616"/>
      <c r="CJ15" s="616"/>
      <c r="CK15" s="616"/>
      <c r="CL15" s="616"/>
      <c r="CM15" s="616"/>
      <c r="CN15" s="616"/>
      <c r="CO15" s="616"/>
      <c r="CP15" s="616"/>
      <c r="CQ15" s="616"/>
      <c r="CR15" s="616"/>
      <c r="CS15" s="616"/>
      <c r="CT15" s="616"/>
      <c r="CU15" s="616"/>
      <c r="CV15" s="616"/>
      <c r="CW15" s="616"/>
      <c r="CX15" s="616"/>
      <c r="CY15" s="616"/>
      <c r="CZ15" s="616"/>
      <c r="DA15" s="616"/>
      <c r="DB15" s="616"/>
      <c r="DC15" s="616"/>
      <c r="DD15" s="616"/>
      <c r="DE15" s="616"/>
      <c r="DF15" s="616"/>
      <c r="DG15" s="616"/>
      <c r="DH15" s="616"/>
      <c r="DI15" s="616"/>
      <c r="DJ15" s="616"/>
      <c r="DK15" s="616"/>
      <c r="DL15" s="616"/>
      <c r="DM15" s="616"/>
      <c r="DN15" s="616"/>
      <c r="DO15" s="616"/>
      <c r="DP15" s="616"/>
      <c r="DQ15" s="616"/>
      <c r="DR15" s="616"/>
      <c r="DS15" s="616"/>
      <c r="DT15" s="616"/>
      <c r="DU15" s="616"/>
      <c r="DV15" s="616"/>
      <c r="DW15" s="616"/>
      <c r="DX15" s="616"/>
      <c r="DY15" s="616"/>
      <c r="DZ15" s="616"/>
      <c r="EA15" s="616"/>
      <c r="EB15" s="616"/>
      <c r="EC15" s="616"/>
      <c r="ED15" s="616"/>
      <c r="EE15" s="616"/>
      <c r="EF15" s="616"/>
      <c r="EG15" s="616"/>
      <c r="EH15" s="616"/>
      <c r="EI15" s="616"/>
      <c r="EJ15" s="616"/>
      <c r="EK15" s="616"/>
      <c r="EL15" s="616"/>
      <c r="EM15" s="616"/>
      <c r="EN15" s="616"/>
      <c r="EO15" s="616"/>
      <c r="EP15" s="616"/>
      <c r="EQ15" s="616"/>
      <c r="ER15" s="616"/>
      <c r="ES15" s="616"/>
      <c r="ET15" s="616"/>
      <c r="EU15" s="616"/>
      <c r="EV15" s="616"/>
      <c r="EW15" s="616"/>
      <c r="EX15" s="616"/>
      <c r="EY15" s="616"/>
      <c r="EZ15" s="616"/>
      <c r="FA15" s="616"/>
      <c r="FB15" s="616"/>
      <c r="FC15" s="616"/>
      <c r="FD15" s="616"/>
      <c r="FE15" s="616"/>
      <c r="FF15" s="616"/>
      <c r="FG15" s="616"/>
      <c r="FH15" s="616"/>
      <c r="FI15" s="616"/>
      <c r="FJ15" s="616"/>
      <c r="FK15" s="616"/>
      <c r="FL15" s="616"/>
      <c r="FM15" s="616"/>
      <c r="FN15" s="616"/>
      <c r="FO15" s="616"/>
      <c r="FP15" s="616"/>
      <c r="FQ15" s="616"/>
      <c r="FR15" s="616"/>
      <c r="FS15" s="616"/>
      <c r="FT15" s="616"/>
      <c r="FU15" s="616"/>
      <c r="FV15" s="616"/>
      <c r="FW15" s="616"/>
      <c r="FX15" s="616"/>
      <c r="FY15" s="616"/>
      <c r="FZ15" s="616"/>
      <c r="GA15" s="616"/>
      <c r="GB15" s="616"/>
      <c r="GC15" s="616"/>
      <c r="GD15" s="616"/>
      <c r="GE15" s="616"/>
      <c r="GF15" s="616"/>
      <c r="GG15" s="616"/>
      <c r="GH15" s="616"/>
      <c r="GI15" s="616"/>
      <c r="GJ15" s="616"/>
      <c r="GK15" s="616"/>
      <c r="GL15" s="616"/>
      <c r="GM15" s="616"/>
      <c r="GN15" s="616"/>
      <c r="GO15" s="616"/>
      <c r="GP15" s="616"/>
      <c r="GQ15" s="616"/>
      <c r="GR15" s="616"/>
      <c r="GS15" s="616"/>
      <c r="GT15" s="616"/>
      <c r="GU15" s="616"/>
      <c r="GV15" s="616"/>
      <c r="GW15" s="616"/>
      <c r="GX15" s="616"/>
      <c r="GY15" s="616"/>
      <c r="GZ15" s="616"/>
      <c r="HA15" s="616"/>
      <c r="HB15" s="616"/>
      <c r="HC15" s="616"/>
      <c r="HD15" s="616"/>
      <c r="HE15" s="616"/>
      <c r="HF15" s="616"/>
      <c r="HG15" s="616"/>
      <c r="HH15" s="616"/>
      <c r="HI15" s="616"/>
      <c r="HJ15" s="616"/>
      <c r="HK15" s="616"/>
      <c r="HL15" s="616"/>
      <c r="HM15" s="616"/>
      <c r="HN15" s="616"/>
      <c r="HO15" s="616"/>
      <c r="HP15" s="616"/>
      <c r="HQ15" s="616"/>
      <c r="HR15" s="616"/>
      <c r="HS15" s="616"/>
      <c r="HT15" s="616"/>
      <c r="HU15" s="616"/>
      <c r="HV15" s="616"/>
      <c r="HW15" s="616"/>
      <c r="HX15" s="616"/>
      <c r="HY15" s="616"/>
      <c r="HZ15" s="616"/>
      <c r="IA15" s="616"/>
      <c r="IB15" s="616"/>
      <c r="IC15" s="616"/>
      <c r="ID15" s="616"/>
      <c r="IE15" s="616"/>
      <c r="IF15" s="616"/>
      <c r="IG15" s="616"/>
      <c r="IH15" s="616"/>
      <c r="II15" s="616"/>
      <c r="IJ15" s="616"/>
      <c r="IK15" s="616"/>
      <c r="IL15" s="616"/>
      <c r="IM15" s="616"/>
      <c r="IN15" s="616"/>
      <c r="IO15" s="616"/>
      <c r="IP15" s="616"/>
      <c r="IQ15" s="616"/>
      <c r="IR15" s="616"/>
      <c r="IS15" s="616"/>
      <c r="IT15" s="616"/>
      <c r="IU15" s="616"/>
      <c r="IV15" s="616"/>
    </row>
    <row r="16" spans="1:256" ht="15">
      <c r="A16" s="616"/>
      <c r="B16" s="625" t="s">
        <v>300</v>
      </c>
      <c r="C16" s="625" t="s">
        <v>301</v>
      </c>
      <c r="D16" s="625" t="s">
        <v>47</v>
      </c>
      <c r="E16" s="625" t="s">
        <v>303</v>
      </c>
      <c r="F16" s="625" t="s">
        <v>228</v>
      </c>
      <c r="G16" s="625" t="s">
        <v>229</v>
      </c>
      <c r="H16" s="625" t="s">
        <v>230</v>
      </c>
      <c r="I16" s="625" t="s">
        <v>235</v>
      </c>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c r="AK16" s="616"/>
      <c r="AL16" s="616"/>
      <c r="AM16" s="616"/>
      <c r="AN16" s="616"/>
      <c r="AO16" s="616"/>
      <c r="AP16" s="616"/>
      <c r="AQ16" s="616"/>
      <c r="AR16" s="616"/>
      <c r="AS16" s="616"/>
      <c r="AT16" s="616"/>
      <c r="AU16" s="616"/>
      <c r="AV16" s="616"/>
      <c r="AW16" s="616"/>
      <c r="AX16" s="616"/>
      <c r="AY16" s="616"/>
      <c r="AZ16" s="616"/>
      <c r="BA16" s="616"/>
      <c r="BB16" s="616"/>
      <c r="BC16" s="616"/>
      <c r="BD16" s="616"/>
      <c r="BE16" s="616"/>
      <c r="BF16" s="616"/>
      <c r="BG16" s="616"/>
      <c r="BH16" s="616"/>
      <c r="BI16" s="616"/>
      <c r="BJ16" s="616"/>
      <c r="BK16" s="616"/>
      <c r="BL16" s="616"/>
      <c r="BM16" s="616"/>
      <c r="BN16" s="616"/>
      <c r="BO16" s="616"/>
      <c r="BP16" s="616"/>
      <c r="BQ16" s="616"/>
      <c r="BR16" s="616"/>
      <c r="BS16" s="616"/>
      <c r="BT16" s="616"/>
      <c r="BU16" s="616"/>
      <c r="BV16" s="616"/>
      <c r="BW16" s="616"/>
      <c r="BX16" s="616"/>
      <c r="BY16" s="616"/>
      <c r="BZ16" s="616"/>
      <c r="CA16" s="616"/>
      <c r="CB16" s="616"/>
      <c r="CC16" s="616"/>
      <c r="CD16" s="616"/>
      <c r="CE16" s="616"/>
      <c r="CF16" s="616"/>
      <c r="CG16" s="616"/>
      <c r="CH16" s="616"/>
      <c r="CI16" s="616"/>
      <c r="CJ16" s="616"/>
      <c r="CK16" s="616"/>
      <c r="CL16" s="616"/>
      <c r="CM16" s="616"/>
      <c r="CN16" s="616"/>
      <c r="CO16" s="616"/>
      <c r="CP16" s="616"/>
      <c r="CQ16" s="616"/>
      <c r="CR16" s="616"/>
      <c r="CS16" s="616"/>
      <c r="CT16" s="616"/>
      <c r="CU16" s="616"/>
      <c r="CV16" s="616"/>
      <c r="CW16" s="616"/>
      <c r="CX16" s="616"/>
      <c r="CY16" s="616"/>
      <c r="CZ16" s="616"/>
      <c r="DA16" s="616"/>
      <c r="DB16" s="616"/>
      <c r="DC16" s="616"/>
      <c r="DD16" s="616"/>
      <c r="DE16" s="616"/>
      <c r="DF16" s="616"/>
      <c r="DG16" s="616"/>
      <c r="DH16" s="616"/>
      <c r="DI16" s="616"/>
      <c r="DJ16" s="616"/>
      <c r="DK16" s="616"/>
      <c r="DL16" s="616"/>
      <c r="DM16" s="616"/>
      <c r="DN16" s="616"/>
      <c r="DO16" s="616"/>
      <c r="DP16" s="616"/>
      <c r="DQ16" s="616"/>
      <c r="DR16" s="616"/>
      <c r="DS16" s="616"/>
      <c r="DT16" s="616"/>
      <c r="DU16" s="616"/>
      <c r="DV16" s="616"/>
      <c r="DW16" s="616"/>
      <c r="DX16" s="616"/>
      <c r="DY16" s="616"/>
      <c r="DZ16" s="616"/>
      <c r="EA16" s="616"/>
      <c r="EB16" s="616"/>
      <c r="EC16" s="616"/>
      <c r="ED16" s="616"/>
      <c r="EE16" s="616"/>
      <c r="EF16" s="616"/>
      <c r="EG16" s="616"/>
      <c r="EH16" s="616"/>
      <c r="EI16" s="616"/>
      <c r="EJ16" s="616"/>
      <c r="EK16" s="616"/>
      <c r="EL16" s="616"/>
      <c r="EM16" s="616"/>
      <c r="EN16" s="616"/>
      <c r="EO16" s="616"/>
      <c r="EP16" s="616"/>
      <c r="EQ16" s="616"/>
      <c r="ER16" s="616"/>
      <c r="ES16" s="616"/>
      <c r="ET16" s="616"/>
      <c r="EU16" s="616"/>
      <c r="EV16" s="616"/>
      <c r="EW16" s="616"/>
      <c r="EX16" s="616"/>
      <c r="EY16" s="616"/>
      <c r="EZ16" s="616"/>
      <c r="FA16" s="616"/>
      <c r="FB16" s="616"/>
      <c r="FC16" s="616"/>
      <c r="FD16" s="616"/>
      <c r="FE16" s="616"/>
      <c r="FF16" s="616"/>
      <c r="FG16" s="616"/>
      <c r="FH16" s="616"/>
      <c r="FI16" s="616"/>
      <c r="FJ16" s="616"/>
      <c r="FK16" s="616"/>
      <c r="FL16" s="616"/>
      <c r="FM16" s="616"/>
      <c r="FN16" s="616"/>
      <c r="FO16" s="616"/>
      <c r="FP16" s="616"/>
      <c r="FQ16" s="616"/>
      <c r="FR16" s="616"/>
      <c r="FS16" s="616"/>
      <c r="FT16" s="616"/>
      <c r="FU16" s="616"/>
      <c r="FV16" s="616"/>
      <c r="FW16" s="616"/>
      <c r="FX16" s="616"/>
      <c r="FY16" s="616"/>
      <c r="FZ16" s="616"/>
      <c r="GA16" s="616"/>
      <c r="GB16" s="616"/>
      <c r="GC16" s="616"/>
      <c r="GD16" s="616"/>
      <c r="GE16" s="616"/>
      <c r="GF16" s="616"/>
      <c r="GG16" s="616"/>
      <c r="GH16" s="616"/>
      <c r="GI16" s="616"/>
      <c r="GJ16" s="616"/>
      <c r="GK16" s="616"/>
      <c r="GL16" s="616"/>
      <c r="GM16" s="616"/>
      <c r="GN16" s="616"/>
      <c r="GO16" s="616"/>
      <c r="GP16" s="616"/>
      <c r="GQ16" s="616"/>
      <c r="GR16" s="616"/>
      <c r="GS16" s="616"/>
      <c r="GT16" s="616"/>
      <c r="GU16" s="616"/>
      <c r="GV16" s="616"/>
      <c r="GW16" s="616"/>
      <c r="GX16" s="616"/>
      <c r="GY16" s="616"/>
      <c r="GZ16" s="616"/>
      <c r="HA16" s="616"/>
      <c r="HB16" s="616"/>
      <c r="HC16" s="616"/>
      <c r="HD16" s="616"/>
      <c r="HE16" s="616"/>
      <c r="HF16" s="616"/>
      <c r="HG16" s="616"/>
      <c r="HH16" s="616"/>
      <c r="HI16" s="616"/>
      <c r="HJ16" s="616"/>
      <c r="HK16" s="616"/>
      <c r="HL16" s="616"/>
      <c r="HM16" s="616"/>
      <c r="HN16" s="616"/>
      <c r="HO16" s="616"/>
      <c r="HP16" s="616"/>
      <c r="HQ16" s="616"/>
      <c r="HR16" s="616"/>
      <c r="HS16" s="616"/>
      <c r="HT16" s="616"/>
      <c r="HU16" s="616"/>
      <c r="HV16" s="616"/>
      <c r="HW16" s="616"/>
      <c r="HX16" s="616"/>
      <c r="HY16" s="616"/>
      <c r="HZ16" s="616"/>
      <c r="IA16" s="616"/>
      <c r="IB16" s="616"/>
      <c r="IC16" s="616"/>
      <c r="ID16" s="616"/>
      <c r="IE16" s="616"/>
      <c r="IF16" s="616"/>
      <c r="IG16" s="616"/>
      <c r="IH16" s="616"/>
      <c r="II16" s="616"/>
      <c r="IJ16" s="616"/>
      <c r="IK16" s="616"/>
      <c r="IL16" s="616"/>
      <c r="IM16" s="616"/>
      <c r="IN16" s="616"/>
      <c r="IO16" s="616"/>
      <c r="IP16" s="616"/>
      <c r="IQ16" s="616"/>
      <c r="IR16" s="616"/>
      <c r="IS16" s="616"/>
      <c r="IT16" s="616"/>
      <c r="IU16" s="616"/>
      <c r="IV16" s="616"/>
    </row>
    <row r="17" spans="1:256" ht="38.5">
      <c r="A17" s="626" t="s">
        <v>307</v>
      </c>
      <c r="B17" s="627" t="s">
        <v>509</v>
      </c>
      <c r="C17" s="627" t="s">
        <v>510</v>
      </c>
      <c r="D17" s="627" t="s">
        <v>518</v>
      </c>
      <c r="E17" s="627" t="s">
        <v>519</v>
      </c>
      <c r="F17" s="627" t="s">
        <v>520</v>
      </c>
      <c r="G17" s="627" t="s">
        <v>521</v>
      </c>
      <c r="H17" s="627" t="s">
        <v>511</v>
      </c>
      <c r="I17" s="627" t="s">
        <v>522</v>
      </c>
      <c r="J17" s="616"/>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628"/>
      <c r="AK17" s="628"/>
      <c r="AL17" s="628"/>
      <c r="AM17" s="628"/>
      <c r="AN17" s="628"/>
      <c r="AO17" s="628"/>
      <c r="AP17" s="628"/>
      <c r="AQ17" s="628"/>
      <c r="AR17" s="628"/>
      <c r="AS17" s="628"/>
      <c r="AT17" s="628"/>
      <c r="AU17" s="628"/>
      <c r="AV17" s="628"/>
      <c r="AW17" s="628"/>
      <c r="AX17" s="628"/>
      <c r="AY17" s="628"/>
      <c r="AZ17" s="628"/>
      <c r="BA17" s="628"/>
      <c r="BB17" s="628"/>
      <c r="BC17" s="628"/>
      <c r="BD17" s="628"/>
      <c r="BE17" s="628"/>
      <c r="BF17" s="628"/>
      <c r="BG17" s="628"/>
      <c r="BH17" s="628"/>
      <c r="BI17" s="628"/>
      <c r="BJ17" s="628"/>
      <c r="BK17" s="628"/>
      <c r="BL17" s="628"/>
      <c r="BM17" s="628"/>
      <c r="BN17" s="628"/>
      <c r="BO17" s="628"/>
      <c r="BP17" s="628"/>
      <c r="BQ17" s="628"/>
      <c r="BR17" s="628"/>
      <c r="BS17" s="628"/>
      <c r="BT17" s="628"/>
      <c r="BU17" s="628"/>
      <c r="BV17" s="628"/>
      <c r="BW17" s="628"/>
      <c r="BX17" s="628"/>
      <c r="BY17" s="628"/>
      <c r="BZ17" s="628"/>
      <c r="CA17" s="628"/>
      <c r="CB17" s="628"/>
      <c r="CC17" s="628"/>
      <c r="CD17" s="628"/>
      <c r="CE17" s="628"/>
      <c r="CF17" s="628"/>
      <c r="CG17" s="628"/>
      <c r="CH17" s="628"/>
      <c r="CI17" s="628"/>
      <c r="CJ17" s="628"/>
      <c r="CK17" s="628"/>
      <c r="CL17" s="628"/>
      <c r="CM17" s="628"/>
      <c r="CN17" s="628"/>
      <c r="CO17" s="628"/>
      <c r="CP17" s="628"/>
      <c r="CQ17" s="628"/>
      <c r="CR17" s="628"/>
      <c r="CS17" s="628"/>
      <c r="CT17" s="628"/>
      <c r="CU17" s="628"/>
      <c r="CV17" s="628"/>
      <c r="CW17" s="628"/>
      <c r="CX17" s="628"/>
      <c r="CY17" s="628"/>
      <c r="CZ17" s="628"/>
      <c r="DA17" s="628"/>
      <c r="DB17" s="628"/>
      <c r="DC17" s="628"/>
      <c r="DD17" s="628"/>
      <c r="DE17" s="628"/>
      <c r="DF17" s="628"/>
      <c r="DG17" s="628"/>
      <c r="DH17" s="628"/>
      <c r="DI17" s="628"/>
      <c r="DJ17" s="628"/>
      <c r="DK17" s="628"/>
      <c r="DL17" s="628"/>
      <c r="DM17" s="628"/>
      <c r="DN17" s="628"/>
      <c r="DO17" s="628"/>
      <c r="DP17" s="628"/>
      <c r="DQ17" s="628"/>
      <c r="DR17" s="628"/>
      <c r="DS17" s="628"/>
      <c r="DT17" s="628"/>
      <c r="DU17" s="628"/>
      <c r="DV17" s="628"/>
      <c r="DW17" s="628"/>
      <c r="DX17" s="628"/>
      <c r="DY17" s="628"/>
      <c r="DZ17" s="628"/>
      <c r="EA17" s="628"/>
      <c r="EB17" s="628"/>
      <c r="EC17" s="628"/>
      <c r="ED17" s="628"/>
      <c r="EE17" s="628"/>
      <c r="EF17" s="628"/>
      <c r="EG17" s="628"/>
      <c r="EH17" s="628"/>
      <c r="EI17" s="628"/>
      <c r="EJ17" s="628"/>
      <c r="EK17" s="628"/>
      <c r="EL17" s="628"/>
      <c r="EM17" s="628"/>
      <c r="EN17" s="628"/>
      <c r="EO17" s="628"/>
      <c r="EP17" s="628"/>
      <c r="EQ17" s="628"/>
      <c r="ER17" s="628"/>
      <c r="ES17" s="628"/>
      <c r="ET17" s="628"/>
      <c r="EU17" s="628"/>
      <c r="EV17" s="628"/>
      <c r="EW17" s="628"/>
      <c r="EX17" s="628"/>
      <c r="EY17" s="628"/>
      <c r="EZ17" s="628"/>
      <c r="FA17" s="628"/>
      <c r="FB17" s="628"/>
      <c r="FC17" s="628"/>
      <c r="FD17" s="628"/>
      <c r="FE17" s="628"/>
      <c r="FF17" s="628"/>
      <c r="FG17" s="628"/>
      <c r="FH17" s="628"/>
      <c r="FI17" s="628"/>
      <c r="FJ17" s="628"/>
      <c r="FK17" s="628"/>
      <c r="FL17" s="628"/>
      <c r="FM17" s="628"/>
      <c r="FN17" s="628"/>
      <c r="FO17" s="628"/>
      <c r="FP17" s="628"/>
      <c r="FQ17" s="628"/>
      <c r="FR17" s="628"/>
      <c r="FS17" s="628"/>
      <c r="FT17" s="628"/>
      <c r="FU17" s="628"/>
      <c r="FV17" s="628"/>
      <c r="FW17" s="628"/>
      <c r="FX17" s="628"/>
      <c r="FY17" s="628"/>
      <c r="FZ17" s="628"/>
      <c r="GA17" s="628"/>
      <c r="GB17" s="628"/>
      <c r="GC17" s="628"/>
      <c r="GD17" s="628"/>
      <c r="GE17" s="628"/>
      <c r="GF17" s="628"/>
      <c r="GG17" s="628"/>
      <c r="GH17" s="628"/>
      <c r="GI17" s="628"/>
      <c r="GJ17" s="628"/>
      <c r="GK17" s="628"/>
      <c r="GL17" s="628"/>
      <c r="GM17" s="628"/>
      <c r="GN17" s="628"/>
      <c r="GO17" s="628"/>
      <c r="GP17" s="628"/>
      <c r="GQ17" s="628"/>
      <c r="GR17" s="628"/>
      <c r="GS17" s="628"/>
      <c r="GT17" s="628"/>
      <c r="GU17" s="628"/>
      <c r="GV17" s="628"/>
      <c r="GW17" s="628"/>
      <c r="GX17" s="628"/>
      <c r="GY17" s="628"/>
      <c r="GZ17" s="628"/>
      <c r="HA17" s="628"/>
      <c r="HB17" s="628"/>
      <c r="HC17" s="628"/>
      <c r="HD17" s="628"/>
      <c r="HE17" s="628"/>
      <c r="HF17" s="628"/>
      <c r="HG17" s="628"/>
      <c r="HH17" s="628"/>
      <c r="HI17" s="628"/>
      <c r="HJ17" s="628"/>
      <c r="HK17" s="628"/>
      <c r="HL17" s="628"/>
      <c r="HM17" s="628"/>
      <c r="HN17" s="628"/>
      <c r="HO17" s="628"/>
      <c r="HP17" s="628"/>
      <c r="HQ17" s="628"/>
      <c r="HR17" s="628"/>
      <c r="HS17" s="628"/>
      <c r="HT17" s="628"/>
      <c r="HU17" s="628"/>
      <c r="HV17" s="628"/>
      <c r="HW17" s="628"/>
      <c r="HX17" s="628"/>
      <c r="HY17" s="628"/>
      <c r="HZ17" s="628"/>
      <c r="IA17" s="628"/>
      <c r="IB17" s="628"/>
      <c r="IC17" s="628"/>
      <c r="ID17" s="628"/>
      <c r="IE17" s="628"/>
      <c r="IF17" s="628"/>
      <c r="IG17" s="628"/>
      <c r="IH17" s="628"/>
      <c r="II17" s="628"/>
      <c r="IJ17" s="628"/>
      <c r="IK17" s="628"/>
      <c r="IL17" s="628"/>
      <c r="IM17" s="628"/>
      <c r="IN17" s="628"/>
      <c r="IO17" s="628"/>
      <c r="IP17" s="628"/>
      <c r="IQ17" s="628"/>
      <c r="IR17" s="628"/>
      <c r="IS17" s="628"/>
      <c r="IT17" s="628"/>
      <c r="IU17" s="628"/>
      <c r="IV17" s="628"/>
    </row>
    <row r="18" spans="1:256">
      <c r="A18" s="620">
        <f>+A14+1</f>
        <v>5</v>
      </c>
      <c r="B18" s="617" t="s">
        <v>512</v>
      </c>
      <c r="C18" s="629">
        <f>+H12</f>
        <v>0</v>
      </c>
      <c r="D18" s="629">
        <f>C18</f>
        <v>0</v>
      </c>
      <c r="E18" s="617"/>
      <c r="F18" s="446">
        <v>365</v>
      </c>
      <c r="G18" s="630">
        <f>F18/$F$18</f>
        <v>1</v>
      </c>
      <c r="H18" s="629">
        <f>C18*G18</f>
        <v>0</v>
      </c>
      <c r="I18" s="629">
        <f>H18</f>
        <v>0</v>
      </c>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6"/>
      <c r="AM18" s="616"/>
      <c r="AN18" s="616"/>
      <c r="AO18" s="616"/>
      <c r="AP18" s="616"/>
      <c r="AQ18" s="616"/>
      <c r="AR18" s="616"/>
      <c r="AS18" s="616"/>
      <c r="AT18" s="616"/>
      <c r="AU18" s="616"/>
      <c r="AV18" s="616"/>
      <c r="AW18" s="616"/>
      <c r="AX18" s="616"/>
      <c r="AY18" s="616"/>
      <c r="AZ18" s="616"/>
      <c r="BA18" s="616"/>
      <c r="BB18" s="616"/>
      <c r="BC18" s="616"/>
      <c r="BD18" s="616"/>
      <c r="BE18" s="616"/>
      <c r="BF18" s="616"/>
      <c r="BG18" s="616"/>
      <c r="BH18" s="616"/>
      <c r="BI18" s="616"/>
      <c r="BJ18" s="616"/>
      <c r="BK18" s="616"/>
      <c r="BL18" s="616"/>
      <c r="BM18" s="616"/>
      <c r="BN18" s="616"/>
      <c r="BO18" s="616"/>
      <c r="BP18" s="616"/>
      <c r="BQ18" s="616"/>
      <c r="BR18" s="616"/>
      <c r="BS18" s="616"/>
      <c r="BT18" s="616"/>
      <c r="BU18" s="616"/>
      <c r="BV18" s="616"/>
      <c r="BW18" s="616"/>
      <c r="BX18" s="616"/>
      <c r="BY18" s="616"/>
      <c r="BZ18" s="616"/>
      <c r="CA18" s="616"/>
      <c r="CB18" s="616"/>
      <c r="CC18" s="616"/>
      <c r="CD18" s="616"/>
      <c r="CE18" s="616"/>
      <c r="CF18" s="616"/>
      <c r="CG18" s="616"/>
      <c r="CH18" s="616"/>
      <c r="CI18" s="616"/>
      <c r="CJ18" s="616"/>
      <c r="CK18" s="616"/>
      <c r="CL18" s="616"/>
      <c r="CM18" s="616"/>
      <c r="CN18" s="616"/>
      <c r="CO18" s="616"/>
      <c r="CP18" s="616"/>
      <c r="CQ18" s="616"/>
      <c r="CR18" s="616"/>
      <c r="CS18" s="616"/>
      <c r="CT18" s="616"/>
      <c r="CU18" s="616"/>
      <c r="CV18" s="616"/>
      <c r="CW18" s="616"/>
      <c r="CX18" s="616"/>
      <c r="CY18" s="616"/>
      <c r="CZ18" s="616"/>
      <c r="DA18" s="616"/>
      <c r="DB18" s="616"/>
      <c r="DC18" s="616"/>
      <c r="DD18" s="616"/>
      <c r="DE18" s="616"/>
      <c r="DF18" s="616"/>
      <c r="DG18" s="616"/>
      <c r="DH18" s="616"/>
      <c r="DI18" s="616"/>
      <c r="DJ18" s="616"/>
      <c r="DK18" s="616"/>
      <c r="DL18" s="616"/>
      <c r="DM18" s="616"/>
      <c r="DN18" s="616"/>
      <c r="DO18" s="616"/>
      <c r="DP18" s="616"/>
      <c r="DQ18" s="616"/>
      <c r="DR18" s="616"/>
      <c r="DS18" s="616"/>
      <c r="DT18" s="616"/>
      <c r="DU18" s="616"/>
      <c r="DV18" s="616"/>
      <c r="DW18" s="616"/>
      <c r="DX18" s="616"/>
      <c r="DY18" s="616"/>
      <c r="DZ18" s="616"/>
      <c r="EA18" s="616"/>
      <c r="EB18" s="616"/>
      <c r="EC18" s="616"/>
      <c r="ED18" s="616"/>
      <c r="EE18" s="616"/>
      <c r="EF18" s="616"/>
      <c r="EG18" s="616"/>
      <c r="EH18" s="616"/>
      <c r="EI18" s="616"/>
      <c r="EJ18" s="616"/>
      <c r="EK18" s="616"/>
      <c r="EL18" s="616"/>
      <c r="EM18" s="616"/>
      <c r="EN18" s="616"/>
      <c r="EO18" s="616"/>
      <c r="EP18" s="616"/>
      <c r="EQ18" s="616"/>
      <c r="ER18" s="616"/>
      <c r="ES18" s="616"/>
      <c r="ET18" s="616"/>
      <c r="EU18" s="616"/>
      <c r="EV18" s="616"/>
      <c r="EW18" s="616"/>
      <c r="EX18" s="616"/>
      <c r="EY18" s="616"/>
      <c r="EZ18" s="616"/>
      <c r="FA18" s="616"/>
      <c r="FB18" s="616"/>
      <c r="FC18" s="616"/>
      <c r="FD18" s="616"/>
      <c r="FE18" s="616"/>
      <c r="FF18" s="616"/>
      <c r="FG18" s="616"/>
      <c r="FH18" s="616"/>
      <c r="FI18" s="616"/>
      <c r="FJ18" s="616"/>
      <c r="FK18" s="616"/>
      <c r="FL18" s="616"/>
      <c r="FM18" s="616"/>
      <c r="FN18" s="616"/>
      <c r="FO18" s="616"/>
      <c r="FP18" s="616"/>
      <c r="FQ18" s="616"/>
      <c r="FR18" s="616"/>
      <c r="FS18" s="616"/>
      <c r="FT18" s="616"/>
      <c r="FU18" s="616"/>
      <c r="FV18" s="616"/>
      <c r="FW18" s="616"/>
      <c r="FX18" s="616"/>
      <c r="FY18" s="616"/>
      <c r="FZ18" s="616"/>
      <c r="GA18" s="616"/>
      <c r="GB18" s="616"/>
      <c r="GC18" s="616"/>
      <c r="GD18" s="616"/>
      <c r="GE18" s="616"/>
      <c r="GF18" s="616"/>
      <c r="GG18" s="616"/>
      <c r="GH18" s="616"/>
      <c r="GI18" s="616"/>
      <c r="GJ18" s="616"/>
      <c r="GK18" s="616"/>
      <c r="GL18" s="616"/>
      <c r="GM18" s="616"/>
      <c r="GN18" s="616"/>
      <c r="GO18" s="616"/>
      <c r="GP18" s="616"/>
      <c r="GQ18" s="616"/>
      <c r="GR18" s="616"/>
      <c r="GS18" s="616"/>
      <c r="GT18" s="616"/>
      <c r="GU18" s="616"/>
      <c r="GV18" s="616"/>
      <c r="GW18" s="616"/>
      <c r="GX18" s="616"/>
      <c r="GY18" s="616"/>
      <c r="GZ18" s="616"/>
      <c r="HA18" s="616"/>
      <c r="HB18" s="616"/>
      <c r="HC18" s="616"/>
      <c r="HD18" s="616"/>
      <c r="HE18" s="616"/>
      <c r="HF18" s="616"/>
      <c r="HG18" s="616"/>
      <c r="HH18" s="616"/>
      <c r="HI18" s="616"/>
      <c r="HJ18" s="616"/>
      <c r="HK18" s="616"/>
      <c r="HL18" s="616"/>
      <c r="HM18" s="616"/>
      <c r="HN18" s="616"/>
      <c r="HO18" s="616"/>
      <c r="HP18" s="616"/>
      <c r="HQ18" s="616"/>
      <c r="HR18" s="616"/>
      <c r="HS18" s="616"/>
      <c r="HT18" s="616"/>
      <c r="HU18" s="616"/>
      <c r="HV18" s="616"/>
      <c r="HW18" s="616"/>
      <c r="HX18" s="616"/>
      <c r="HY18" s="616"/>
      <c r="HZ18" s="616"/>
      <c r="IA18" s="616"/>
      <c r="IB18" s="616"/>
      <c r="IC18" s="616"/>
      <c r="ID18" s="616"/>
      <c r="IE18" s="616"/>
      <c r="IF18" s="616"/>
      <c r="IG18" s="616"/>
      <c r="IH18" s="616"/>
      <c r="II18" s="616"/>
      <c r="IJ18" s="616"/>
      <c r="IK18" s="616"/>
      <c r="IL18" s="616"/>
      <c r="IM18" s="616"/>
      <c r="IN18" s="616"/>
      <c r="IO18" s="616"/>
      <c r="IP18" s="616"/>
      <c r="IQ18" s="616"/>
      <c r="IR18" s="616"/>
      <c r="IS18" s="616"/>
      <c r="IT18" s="616"/>
      <c r="IU18" s="616"/>
      <c r="IV18" s="616"/>
    </row>
    <row r="19" spans="1:256">
      <c r="A19" s="620">
        <f>+A18+1</f>
        <v>6</v>
      </c>
      <c r="B19" s="617" t="s">
        <v>513</v>
      </c>
      <c r="C19" s="629">
        <f>+$H$14</f>
        <v>0</v>
      </c>
      <c r="D19" s="629">
        <f>D18+C19</f>
        <v>0</v>
      </c>
      <c r="E19" s="617">
        <v>31</v>
      </c>
      <c r="F19" s="446">
        <v>335</v>
      </c>
      <c r="G19" s="630">
        <f t="shared" ref="G19:G30" si="0">F19/$F$18</f>
        <v>0.9178082191780822</v>
      </c>
      <c r="H19" s="629">
        <f t="shared" ref="H19:H30" si="1">C19*G19</f>
        <v>0</v>
      </c>
      <c r="I19" s="629">
        <f>I18+H19</f>
        <v>0</v>
      </c>
      <c r="J19" s="616"/>
      <c r="K19" s="616"/>
      <c r="L19" s="616"/>
      <c r="M19" s="616"/>
      <c r="N19" s="616"/>
      <c r="O19" s="616"/>
      <c r="P19" s="616"/>
      <c r="Q19" s="616"/>
      <c r="R19" s="616"/>
      <c r="S19" s="616"/>
      <c r="T19" s="616"/>
      <c r="U19" s="616"/>
      <c r="V19" s="616"/>
      <c r="W19" s="616"/>
      <c r="X19" s="616"/>
      <c r="Y19" s="616"/>
      <c r="Z19" s="616"/>
      <c r="AA19" s="616"/>
      <c r="AB19" s="616"/>
      <c r="AC19" s="616"/>
      <c r="AD19" s="616"/>
      <c r="AE19" s="616"/>
      <c r="AF19" s="616"/>
      <c r="AG19" s="616"/>
      <c r="AH19" s="616"/>
      <c r="AI19" s="616"/>
      <c r="AJ19" s="616"/>
      <c r="AK19" s="616"/>
      <c r="AL19" s="616"/>
      <c r="AM19" s="616"/>
      <c r="AN19" s="616"/>
      <c r="AO19" s="616"/>
      <c r="AP19" s="616"/>
      <c r="AQ19" s="616"/>
      <c r="AR19" s="616"/>
      <c r="AS19" s="616"/>
      <c r="AT19" s="616"/>
      <c r="AU19" s="616"/>
      <c r="AV19" s="616"/>
      <c r="AW19" s="616"/>
      <c r="AX19" s="616"/>
      <c r="AY19" s="616"/>
      <c r="AZ19" s="616"/>
      <c r="BA19" s="616"/>
      <c r="BB19" s="616"/>
      <c r="BC19" s="616"/>
      <c r="BD19" s="616"/>
      <c r="BE19" s="616"/>
      <c r="BF19" s="616"/>
      <c r="BG19" s="616"/>
      <c r="BH19" s="616"/>
      <c r="BI19" s="616"/>
      <c r="BJ19" s="616"/>
      <c r="BK19" s="616"/>
      <c r="BL19" s="616"/>
      <c r="BM19" s="616"/>
      <c r="BN19" s="616"/>
      <c r="BO19" s="616"/>
      <c r="BP19" s="616"/>
      <c r="BQ19" s="616"/>
      <c r="BR19" s="616"/>
      <c r="BS19" s="616"/>
      <c r="BT19" s="616"/>
      <c r="BU19" s="616"/>
      <c r="BV19" s="616"/>
      <c r="BW19" s="616"/>
      <c r="BX19" s="616"/>
      <c r="BY19" s="616"/>
      <c r="BZ19" s="616"/>
      <c r="CA19" s="616"/>
      <c r="CB19" s="616"/>
      <c r="CC19" s="616"/>
      <c r="CD19" s="616"/>
      <c r="CE19" s="616"/>
      <c r="CF19" s="616"/>
      <c r="CG19" s="616"/>
      <c r="CH19" s="616"/>
      <c r="CI19" s="616"/>
      <c r="CJ19" s="616"/>
      <c r="CK19" s="616"/>
      <c r="CL19" s="616"/>
      <c r="CM19" s="616"/>
      <c r="CN19" s="616"/>
      <c r="CO19" s="616"/>
      <c r="CP19" s="616"/>
      <c r="CQ19" s="616"/>
      <c r="CR19" s="616"/>
      <c r="CS19" s="616"/>
      <c r="CT19" s="616"/>
      <c r="CU19" s="616"/>
      <c r="CV19" s="616"/>
      <c r="CW19" s="616"/>
      <c r="CX19" s="616"/>
      <c r="CY19" s="616"/>
      <c r="CZ19" s="616"/>
      <c r="DA19" s="616"/>
      <c r="DB19" s="616"/>
      <c r="DC19" s="616"/>
      <c r="DD19" s="616"/>
      <c r="DE19" s="616"/>
      <c r="DF19" s="616"/>
      <c r="DG19" s="616"/>
      <c r="DH19" s="616"/>
      <c r="DI19" s="616"/>
      <c r="DJ19" s="616"/>
      <c r="DK19" s="616"/>
      <c r="DL19" s="616"/>
      <c r="DM19" s="616"/>
      <c r="DN19" s="616"/>
      <c r="DO19" s="616"/>
      <c r="DP19" s="616"/>
      <c r="DQ19" s="616"/>
      <c r="DR19" s="616"/>
      <c r="DS19" s="616"/>
      <c r="DT19" s="616"/>
      <c r="DU19" s="616"/>
      <c r="DV19" s="616"/>
      <c r="DW19" s="616"/>
      <c r="DX19" s="616"/>
      <c r="DY19" s="616"/>
      <c r="DZ19" s="616"/>
      <c r="EA19" s="616"/>
      <c r="EB19" s="616"/>
      <c r="EC19" s="616"/>
      <c r="ED19" s="616"/>
      <c r="EE19" s="616"/>
      <c r="EF19" s="616"/>
      <c r="EG19" s="616"/>
      <c r="EH19" s="616"/>
      <c r="EI19" s="616"/>
      <c r="EJ19" s="616"/>
      <c r="EK19" s="616"/>
      <c r="EL19" s="616"/>
      <c r="EM19" s="616"/>
      <c r="EN19" s="616"/>
      <c r="EO19" s="616"/>
      <c r="EP19" s="616"/>
      <c r="EQ19" s="616"/>
      <c r="ER19" s="616"/>
      <c r="ES19" s="616"/>
      <c r="ET19" s="616"/>
      <c r="EU19" s="616"/>
      <c r="EV19" s="616"/>
      <c r="EW19" s="616"/>
      <c r="EX19" s="616"/>
      <c r="EY19" s="616"/>
      <c r="EZ19" s="616"/>
      <c r="FA19" s="616"/>
      <c r="FB19" s="616"/>
      <c r="FC19" s="616"/>
      <c r="FD19" s="616"/>
      <c r="FE19" s="616"/>
      <c r="FF19" s="616"/>
      <c r="FG19" s="616"/>
      <c r="FH19" s="616"/>
      <c r="FI19" s="616"/>
      <c r="FJ19" s="616"/>
      <c r="FK19" s="616"/>
      <c r="FL19" s="616"/>
      <c r="FM19" s="616"/>
      <c r="FN19" s="616"/>
      <c r="FO19" s="616"/>
      <c r="FP19" s="616"/>
      <c r="FQ19" s="616"/>
      <c r="FR19" s="616"/>
      <c r="FS19" s="616"/>
      <c r="FT19" s="616"/>
      <c r="FU19" s="616"/>
      <c r="FV19" s="616"/>
      <c r="FW19" s="616"/>
      <c r="FX19" s="616"/>
      <c r="FY19" s="616"/>
      <c r="FZ19" s="616"/>
      <c r="GA19" s="616"/>
      <c r="GB19" s="616"/>
      <c r="GC19" s="616"/>
      <c r="GD19" s="616"/>
      <c r="GE19" s="616"/>
      <c r="GF19" s="616"/>
      <c r="GG19" s="616"/>
      <c r="GH19" s="616"/>
      <c r="GI19" s="616"/>
      <c r="GJ19" s="616"/>
      <c r="GK19" s="616"/>
      <c r="GL19" s="616"/>
      <c r="GM19" s="616"/>
      <c r="GN19" s="616"/>
      <c r="GO19" s="616"/>
      <c r="GP19" s="616"/>
      <c r="GQ19" s="616"/>
      <c r="GR19" s="616"/>
      <c r="GS19" s="616"/>
      <c r="GT19" s="616"/>
      <c r="GU19" s="616"/>
      <c r="GV19" s="616"/>
      <c r="GW19" s="616"/>
      <c r="GX19" s="616"/>
      <c r="GY19" s="616"/>
      <c r="GZ19" s="616"/>
      <c r="HA19" s="616"/>
      <c r="HB19" s="616"/>
      <c r="HC19" s="616"/>
      <c r="HD19" s="616"/>
      <c r="HE19" s="616"/>
      <c r="HF19" s="616"/>
      <c r="HG19" s="616"/>
      <c r="HH19" s="616"/>
      <c r="HI19" s="616"/>
      <c r="HJ19" s="616"/>
      <c r="HK19" s="616"/>
      <c r="HL19" s="616"/>
      <c r="HM19" s="616"/>
      <c r="HN19" s="616"/>
      <c r="HO19" s="616"/>
      <c r="HP19" s="616"/>
      <c r="HQ19" s="616"/>
      <c r="HR19" s="616"/>
      <c r="HS19" s="616"/>
      <c r="HT19" s="616"/>
      <c r="HU19" s="616"/>
      <c r="HV19" s="616"/>
      <c r="HW19" s="616"/>
      <c r="HX19" s="616"/>
      <c r="HY19" s="616"/>
      <c r="HZ19" s="616"/>
      <c r="IA19" s="616"/>
      <c r="IB19" s="616"/>
      <c r="IC19" s="616"/>
      <c r="ID19" s="616"/>
      <c r="IE19" s="616"/>
      <c r="IF19" s="616"/>
      <c r="IG19" s="616"/>
      <c r="IH19" s="616"/>
      <c r="II19" s="616"/>
      <c r="IJ19" s="616"/>
      <c r="IK19" s="616"/>
      <c r="IL19" s="616"/>
      <c r="IM19" s="616"/>
      <c r="IN19" s="616"/>
      <c r="IO19" s="616"/>
      <c r="IP19" s="616"/>
      <c r="IQ19" s="616"/>
      <c r="IR19" s="616"/>
      <c r="IS19" s="616"/>
      <c r="IT19" s="616"/>
      <c r="IU19" s="616"/>
      <c r="IV19" s="616"/>
    </row>
    <row r="20" spans="1:256">
      <c r="A20" s="620">
        <f t="shared" ref="A20:A30" si="2">+A19+1</f>
        <v>7</v>
      </c>
      <c r="B20" s="617" t="s">
        <v>514</v>
      </c>
      <c r="C20" s="629">
        <f t="shared" ref="C20:C30" si="3">+$H$14</f>
        <v>0</v>
      </c>
      <c r="D20" s="629">
        <f>D19+C20</f>
        <v>0</v>
      </c>
      <c r="E20" s="446">
        <v>28</v>
      </c>
      <c r="F20" s="446">
        <v>307</v>
      </c>
      <c r="G20" s="630">
        <f t="shared" si="0"/>
        <v>0.84109589041095889</v>
      </c>
      <c r="H20" s="629">
        <f t="shared" si="1"/>
        <v>0</v>
      </c>
      <c r="I20" s="629">
        <f t="shared" ref="I20:I30" si="4">I19+H20</f>
        <v>0</v>
      </c>
      <c r="J20" s="616"/>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c r="AK20" s="616"/>
      <c r="AL20" s="616"/>
      <c r="AM20" s="616"/>
      <c r="AN20" s="616"/>
      <c r="AO20" s="616"/>
      <c r="AP20" s="616"/>
      <c r="AQ20" s="616"/>
      <c r="AR20" s="616"/>
      <c r="AS20" s="616"/>
      <c r="AT20" s="616"/>
      <c r="AU20" s="616"/>
      <c r="AV20" s="616"/>
      <c r="AW20" s="616"/>
      <c r="AX20" s="616"/>
      <c r="AY20" s="616"/>
      <c r="AZ20" s="616"/>
      <c r="BA20" s="616"/>
      <c r="BB20" s="616"/>
      <c r="BC20" s="616"/>
      <c r="BD20" s="616"/>
      <c r="BE20" s="616"/>
      <c r="BF20" s="616"/>
      <c r="BG20" s="616"/>
      <c r="BH20" s="616"/>
      <c r="BI20" s="616"/>
      <c r="BJ20" s="616"/>
      <c r="BK20" s="616"/>
      <c r="BL20" s="616"/>
      <c r="BM20" s="616"/>
      <c r="BN20" s="616"/>
      <c r="BO20" s="616"/>
      <c r="BP20" s="616"/>
      <c r="BQ20" s="616"/>
      <c r="BR20" s="616"/>
      <c r="BS20" s="616"/>
      <c r="BT20" s="616"/>
      <c r="BU20" s="616"/>
      <c r="BV20" s="616"/>
      <c r="BW20" s="616"/>
      <c r="BX20" s="616"/>
      <c r="BY20" s="616"/>
      <c r="BZ20" s="616"/>
      <c r="CA20" s="616"/>
      <c r="CB20" s="616"/>
      <c r="CC20" s="616"/>
      <c r="CD20" s="616"/>
      <c r="CE20" s="616"/>
      <c r="CF20" s="616"/>
      <c r="CG20" s="616"/>
      <c r="CH20" s="616"/>
      <c r="CI20" s="616"/>
      <c r="CJ20" s="616"/>
      <c r="CK20" s="616"/>
      <c r="CL20" s="616"/>
      <c r="CM20" s="616"/>
      <c r="CN20" s="616"/>
      <c r="CO20" s="616"/>
      <c r="CP20" s="616"/>
      <c r="CQ20" s="616"/>
      <c r="CR20" s="616"/>
      <c r="CS20" s="616"/>
      <c r="CT20" s="616"/>
      <c r="CU20" s="616"/>
      <c r="CV20" s="616"/>
      <c r="CW20" s="616"/>
      <c r="CX20" s="616"/>
      <c r="CY20" s="616"/>
      <c r="CZ20" s="616"/>
      <c r="DA20" s="616"/>
      <c r="DB20" s="616"/>
      <c r="DC20" s="616"/>
      <c r="DD20" s="616"/>
      <c r="DE20" s="616"/>
      <c r="DF20" s="616"/>
      <c r="DG20" s="616"/>
      <c r="DH20" s="616"/>
      <c r="DI20" s="616"/>
      <c r="DJ20" s="616"/>
      <c r="DK20" s="616"/>
      <c r="DL20" s="616"/>
      <c r="DM20" s="616"/>
      <c r="DN20" s="616"/>
      <c r="DO20" s="616"/>
      <c r="DP20" s="616"/>
      <c r="DQ20" s="616"/>
      <c r="DR20" s="616"/>
      <c r="DS20" s="616"/>
      <c r="DT20" s="616"/>
      <c r="DU20" s="616"/>
      <c r="DV20" s="616"/>
      <c r="DW20" s="616"/>
      <c r="DX20" s="616"/>
      <c r="DY20" s="616"/>
      <c r="DZ20" s="616"/>
      <c r="EA20" s="616"/>
      <c r="EB20" s="616"/>
      <c r="EC20" s="616"/>
      <c r="ED20" s="616"/>
      <c r="EE20" s="616"/>
      <c r="EF20" s="616"/>
      <c r="EG20" s="616"/>
      <c r="EH20" s="616"/>
      <c r="EI20" s="616"/>
      <c r="EJ20" s="616"/>
      <c r="EK20" s="616"/>
      <c r="EL20" s="616"/>
      <c r="EM20" s="616"/>
      <c r="EN20" s="616"/>
      <c r="EO20" s="616"/>
      <c r="EP20" s="616"/>
      <c r="EQ20" s="616"/>
      <c r="ER20" s="616"/>
      <c r="ES20" s="616"/>
      <c r="ET20" s="616"/>
      <c r="EU20" s="616"/>
      <c r="EV20" s="616"/>
      <c r="EW20" s="616"/>
      <c r="EX20" s="616"/>
      <c r="EY20" s="616"/>
      <c r="EZ20" s="616"/>
      <c r="FA20" s="616"/>
      <c r="FB20" s="616"/>
      <c r="FC20" s="616"/>
      <c r="FD20" s="616"/>
      <c r="FE20" s="616"/>
      <c r="FF20" s="616"/>
      <c r="FG20" s="616"/>
      <c r="FH20" s="616"/>
      <c r="FI20" s="616"/>
      <c r="FJ20" s="616"/>
      <c r="FK20" s="616"/>
      <c r="FL20" s="616"/>
      <c r="FM20" s="616"/>
      <c r="FN20" s="616"/>
      <c r="FO20" s="616"/>
      <c r="FP20" s="616"/>
      <c r="FQ20" s="616"/>
      <c r="FR20" s="616"/>
      <c r="FS20" s="616"/>
      <c r="FT20" s="616"/>
      <c r="FU20" s="616"/>
      <c r="FV20" s="616"/>
      <c r="FW20" s="616"/>
      <c r="FX20" s="616"/>
      <c r="FY20" s="616"/>
      <c r="FZ20" s="616"/>
      <c r="GA20" s="616"/>
      <c r="GB20" s="616"/>
      <c r="GC20" s="616"/>
      <c r="GD20" s="616"/>
      <c r="GE20" s="616"/>
      <c r="GF20" s="616"/>
      <c r="GG20" s="616"/>
      <c r="GH20" s="616"/>
      <c r="GI20" s="616"/>
      <c r="GJ20" s="616"/>
      <c r="GK20" s="616"/>
      <c r="GL20" s="616"/>
      <c r="GM20" s="616"/>
      <c r="GN20" s="616"/>
      <c r="GO20" s="616"/>
      <c r="GP20" s="616"/>
      <c r="GQ20" s="616"/>
      <c r="GR20" s="616"/>
      <c r="GS20" s="616"/>
      <c r="GT20" s="616"/>
      <c r="GU20" s="616"/>
      <c r="GV20" s="616"/>
      <c r="GW20" s="616"/>
      <c r="GX20" s="616"/>
      <c r="GY20" s="616"/>
      <c r="GZ20" s="616"/>
      <c r="HA20" s="616"/>
      <c r="HB20" s="616"/>
      <c r="HC20" s="616"/>
      <c r="HD20" s="616"/>
      <c r="HE20" s="616"/>
      <c r="HF20" s="616"/>
      <c r="HG20" s="616"/>
      <c r="HH20" s="616"/>
      <c r="HI20" s="616"/>
      <c r="HJ20" s="616"/>
      <c r="HK20" s="616"/>
      <c r="HL20" s="616"/>
      <c r="HM20" s="616"/>
      <c r="HN20" s="616"/>
      <c r="HO20" s="616"/>
      <c r="HP20" s="616"/>
      <c r="HQ20" s="616"/>
      <c r="HR20" s="616"/>
      <c r="HS20" s="616"/>
      <c r="HT20" s="616"/>
      <c r="HU20" s="616"/>
      <c r="HV20" s="616"/>
      <c r="HW20" s="616"/>
      <c r="HX20" s="616"/>
      <c r="HY20" s="616"/>
      <c r="HZ20" s="616"/>
      <c r="IA20" s="616"/>
      <c r="IB20" s="616"/>
      <c r="IC20" s="616"/>
      <c r="ID20" s="616"/>
      <c r="IE20" s="616"/>
      <c r="IF20" s="616"/>
      <c r="IG20" s="616"/>
      <c r="IH20" s="616"/>
      <c r="II20" s="616"/>
      <c r="IJ20" s="616"/>
      <c r="IK20" s="616"/>
      <c r="IL20" s="616"/>
      <c r="IM20" s="616"/>
      <c r="IN20" s="616"/>
      <c r="IO20" s="616"/>
      <c r="IP20" s="616"/>
      <c r="IQ20" s="616"/>
      <c r="IR20" s="616"/>
      <c r="IS20" s="616"/>
      <c r="IT20" s="616"/>
      <c r="IU20" s="616"/>
      <c r="IV20" s="616"/>
    </row>
    <row r="21" spans="1:256">
      <c r="A21" s="620">
        <f t="shared" si="2"/>
        <v>8</v>
      </c>
      <c r="B21" s="617" t="s">
        <v>322</v>
      </c>
      <c r="C21" s="629">
        <f t="shared" si="3"/>
        <v>0</v>
      </c>
      <c r="D21" s="629">
        <f>D20+C21</f>
        <v>0</v>
      </c>
      <c r="E21" s="617">
        <v>31</v>
      </c>
      <c r="F21" s="446">
        <v>276</v>
      </c>
      <c r="G21" s="630">
        <f t="shared" si="0"/>
        <v>0.75616438356164384</v>
      </c>
      <c r="H21" s="629">
        <f t="shared" si="1"/>
        <v>0</v>
      </c>
      <c r="I21" s="629">
        <f t="shared" si="4"/>
        <v>0</v>
      </c>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6"/>
      <c r="AJ21" s="616"/>
      <c r="AK21" s="616"/>
      <c r="AL21" s="616"/>
      <c r="AM21" s="616"/>
      <c r="AN21" s="616"/>
      <c r="AO21" s="616"/>
      <c r="AP21" s="616"/>
      <c r="AQ21" s="616"/>
      <c r="AR21" s="616"/>
      <c r="AS21" s="616"/>
      <c r="AT21" s="616"/>
      <c r="AU21" s="616"/>
      <c r="AV21" s="616"/>
      <c r="AW21" s="616"/>
      <c r="AX21" s="616"/>
      <c r="AY21" s="616"/>
      <c r="AZ21" s="616"/>
      <c r="BA21" s="616"/>
      <c r="BB21" s="616"/>
      <c r="BC21" s="616"/>
      <c r="BD21" s="616"/>
      <c r="BE21" s="616"/>
      <c r="BF21" s="616"/>
      <c r="BG21" s="616"/>
      <c r="BH21" s="616"/>
      <c r="BI21" s="616"/>
      <c r="BJ21" s="616"/>
      <c r="BK21" s="616"/>
      <c r="BL21" s="616"/>
      <c r="BM21" s="616"/>
      <c r="BN21" s="616"/>
      <c r="BO21" s="616"/>
      <c r="BP21" s="616"/>
      <c r="BQ21" s="616"/>
      <c r="BR21" s="616"/>
      <c r="BS21" s="616"/>
      <c r="BT21" s="616"/>
      <c r="BU21" s="616"/>
      <c r="BV21" s="616"/>
      <c r="BW21" s="616"/>
      <c r="BX21" s="616"/>
      <c r="BY21" s="616"/>
      <c r="BZ21" s="616"/>
      <c r="CA21" s="616"/>
      <c r="CB21" s="616"/>
      <c r="CC21" s="616"/>
      <c r="CD21" s="616"/>
      <c r="CE21" s="616"/>
      <c r="CF21" s="616"/>
      <c r="CG21" s="616"/>
      <c r="CH21" s="616"/>
      <c r="CI21" s="616"/>
      <c r="CJ21" s="616"/>
      <c r="CK21" s="616"/>
      <c r="CL21" s="616"/>
      <c r="CM21" s="616"/>
      <c r="CN21" s="616"/>
      <c r="CO21" s="616"/>
      <c r="CP21" s="616"/>
      <c r="CQ21" s="616"/>
      <c r="CR21" s="616"/>
      <c r="CS21" s="616"/>
      <c r="CT21" s="616"/>
      <c r="CU21" s="616"/>
      <c r="CV21" s="616"/>
      <c r="CW21" s="616"/>
      <c r="CX21" s="616"/>
      <c r="CY21" s="616"/>
      <c r="CZ21" s="616"/>
      <c r="DA21" s="616"/>
      <c r="DB21" s="616"/>
      <c r="DC21" s="616"/>
      <c r="DD21" s="616"/>
      <c r="DE21" s="616"/>
      <c r="DF21" s="616"/>
      <c r="DG21" s="616"/>
      <c r="DH21" s="616"/>
      <c r="DI21" s="616"/>
      <c r="DJ21" s="616"/>
      <c r="DK21" s="616"/>
      <c r="DL21" s="616"/>
      <c r="DM21" s="616"/>
      <c r="DN21" s="616"/>
      <c r="DO21" s="616"/>
      <c r="DP21" s="616"/>
      <c r="DQ21" s="616"/>
      <c r="DR21" s="616"/>
      <c r="DS21" s="616"/>
      <c r="DT21" s="616"/>
      <c r="DU21" s="616"/>
      <c r="DV21" s="616"/>
      <c r="DW21" s="616"/>
      <c r="DX21" s="616"/>
      <c r="DY21" s="616"/>
      <c r="DZ21" s="616"/>
      <c r="EA21" s="616"/>
      <c r="EB21" s="616"/>
      <c r="EC21" s="616"/>
      <c r="ED21" s="616"/>
      <c r="EE21" s="616"/>
      <c r="EF21" s="616"/>
      <c r="EG21" s="616"/>
      <c r="EH21" s="616"/>
      <c r="EI21" s="616"/>
      <c r="EJ21" s="616"/>
      <c r="EK21" s="616"/>
      <c r="EL21" s="616"/>
      <c r="EM21" s="616"/>
      <c r="EN21" s="616"/>
      <c r="EO21" s="616"/>
      <c r="EP21" s="616"/>
      <c r="EQ21" s="616"/>
      <c r="ER21" s="616"/>
      <c r="ES21" s="616"/>
      <c r="ET21" s="616"/>
      <c r="EU21" s="616"/>
      <c r="EV21" s="616"/>
      <c r="EW21" s="616"/>
      <c r="EX21" s="616"/>
      <c r="EY21" s="616"/>
      <c r="EZ21" s="616"/>
      <c r="FA21" s="616"/>
      <c r="FB21" s="616"/>
      <c r="FC21" s="616"/>
      <c r="FD21" s="616"/>
      <c r="FE21" s="616"/>
      <c r="FF21" s="616"/>
      <c r="FG21" s="616"/>
      <c r="FH21" s="616"/>
      <c r="FI21" s="616"/>
      <c r="FJ21" s="616"/>
      <c r="FK21" s="616"/>
      <c r="FL21" s="616"/>
      <c r="FM21" s="616"/>
      <c r="FN21" s="616"/>
      <c r="FO21" s="616"/>
      <c r="FP21" s="616"/>
      <c r="FQ21" s="616"/>
      <c r="FR21" s="616"/>
      <c r="FS21" s="616"/>
      <c r="FT21" s="616"/>
      <c r="FU21" s="616"/>
      <c r="FV21" s="616"/>
      <c r="FW21" s="616"/>
      <c r="FX21" s="616"/>
      <c r="FY21" s="616"/>
      <c r="FZ21" s="616"/>
      <c r="GA21" s="616"/>
      <c r="GB21" s="616"/>
      <c r="GC21" s="616"/>
      <c r="GD21" s="616"/>
      <c r="GE21" s="616"/>
      <c r="GF21" s="616"/>
      <c r="GG21" s="616"/>
      <c r="GH21" s="616"/>
      <c r="GI21" s="616"/>
      <c r="GJ21" s="616"/>
      <c r="GK21" s="616"/>
      <c r="GL21" s="616"/>
      <c r="GM21" s="616"/>
      <c r="GN21" s="616"/>
      <c r="GO21" s="616"/>
      <c r="GP21" s="616"/>
      <c r="GQ21" s="616"/>
      <c r="GR21" s="616"/>
      <c r="GS21" s="616"/>
      <c r="GT21" s="616"/>
      <c r="GU21" s="616"/>
      <c r="GV21" s="616"/>
      <c r="GW21" s="616"/>
      <c r="GX21" s="616"/>
      <c r="GY21" s="616"/>
      <c r="GZ21" s="616"/>
      <c r="HA21" s="616"/>
      <c r="HB21" s="616"/>
      <c r="HC21" s="616"/>
      <c r="HD21" s="616"/>
      <c r="HE21" s="616"/>
      <c r="HF21" s="616"/>
      <c r="HG21" s="616"/>
      <c r="HH21" s="616"/>
      <c r="HI21" s="616"/>
      <c r="HJ21" s="616"/>
      <c r="HK21" s="616"/>
      <c r="HL21" s="616"/>
      <c r="HM21" s="616"/>
      <c r="HN21" s="616"/>
      <c r="HO21" s="616"/>
      <c r="HP21" s="616"/>
      <c r="HQ21" s="616"/>
      <c r="HR21" s="616"/>
      <c r="HS21" s="616"/>
      <c r="HT21" s="616"/>
      <c r="HU21" s="616"/>
      <c r="HV21" s="616"/>
      <c r="HW21" s="616"/>
      <c r="HX21" s="616"/>
      <c r="HY21" s="616"/>
      <c r="HZ21" s="616"/>
      <c r="IA21" s="616"/>
      <c r="IB21" s="616"/>
      <c r="IC21" s="616"/>
      <c r="ID21" s="616"/>
      <c r="IE21" s="616"/>
      <c r="IF21" s="616"/>
      <c r="IG21" s="616"/>
      <c r="IH21" s="616"/>
      <c r="II21" s="616"/>
      <c r="IJ21" s="616"/>
      <c r="IK21" s="616"/>
      <c r="IL21" s="616"/>
      <c r="IM21" s="616"/>
      <c r="IN21" s="616"/>
      <c r="IO21" s="616"/>
      <c r="IP21" s="616"/>
      <c r="IQ21" s="616"/>
      <c r="IR21" s="616"/>
      <c r="IS21" s="616"/>
      <c r="IT21" s="616"/>
      <c r="IU21" s="616"/>
      <c r="IV21" s="616"/>
    </row>
    <row r="22" spans="1:256">
      <c r="A22" s="620">
        <f t="shared" si="2"/>
        <v>9</v>
      </c>
      <c r="B22" s="617" t="s">
        <v>323</v>
      </c>
      <c r="C22" s="629">
        <f t="shared" si="3"/>
        <v>0</v>
      </c>
      <c r="D22" s="629">
        <f t="shared" ref="D22:D30" si="5">D21+C22</f>
        <v>0</v>
      </c>
      <c r="E22" s="617">
        <v>30</v>
      </c>
      <c r="F22" s="446">
        <v>246</v>
      </c>
      <c r="G22" s="630">
        <f t="shared" si="0"/>
        <v>0.67397260273972603</v>
      </c>
      <c r="H22" s="629">
        <f t="shared" si="1"/>
        <v>0</v>
      </c>
      <c r="I22" s="629">
        <f t="shared" si="4"/>
        <v>0</v>
      </c>
      <c r="J22" s="616"/>
      <c r="K22" s="616"/>
      <c r="L22" s="616"/>
      <c r="M22" s="616"/>
      <c r="N22" s="616"/>
      <c r="O22" s="616"/>
      <c r="P22" s="616"/>
      <c r="Q22" s="616"/>
      <c r="R22" s="616"/>
      <c r="S22" s="616"/>
      <c r="T22" s="616"/>
      <c r="U22" s="616"/>
      <c r="V22" s="616"/>
      <c r="W22" s="616"/>
      <c r="X22" s="616"/>
      <c r="Y22" s="616"/>
      <c r="Z22" s="616"/>
      <c r="AA22" s="616"/>
      <c r="AB22" s="616"/>
      <c r="AC22" s="616"/>
      <c r="AD22" s="616"/>
      <c r="AE22" s="616"/>
      <c r="AF22" s="616"/>
      <c r="AG22" s="616"/>
      <c r="AH22" s="616"/>
      <c r="AI22" s="616"/>
      <c r="AJ22" s="616"/>
      <c r="AK22" s="616"/>
      <c r="AL22" s="616"/>
      <c r="AM22" s="616"/>
      <c r="AN22" s="616"/>
      <c r="AO22" s="616"/>
      <c r="AP22" s="616"/>
      <c r="AQ22" s="616"/>
      <c r="AR22" s="616"/>
      <c r="AS22" s="616"/>
      <c r="AT22" s="616"/>
      <c r="AU22" s="616"/>
      <c r="AV22" s="616"/>
      <c r="AW22" s="616"/>
      <c r="AX22" s="616"/>
      <c r="AY22" s="616"/>
      <c r="AZ22" s="616"/>
      <c r="BA22" s="616"/>
      <c r="BB22" s="616"/>
      <c r="BC22" s="616"/>
      <c r="BD22" s="616"/>
      <c r="BE22" s="616"/>
      <c r="BF22" s="616"/>
      <c r="BG22" s="616"/>
      <c r="BH22" s="616"/>
      <c r="BI22" s="616"/>
      <c r="BJ22" s="616"/>
      <c r="BK22" s="616"/>
      <c r="BL22" s="616"/>
      <c r="BM22" s="616"/>
      <c r="BN22" s="616"/>
      <c r="BO22" s="616"/>
      <c r="BP22" s="616"/>
      <c r="BQ22" s="616"/>
      <c r="BR22" s="616"/>
      <c r="BS22" s="616"/>
      <c r="BT22" s="616"/>
      <c r="BU22" s="616"/>
      <c r="BV22" s="616"/>
      <c r="BW22" s="616"/>
      <c r="BX22" s="616"/>
      <c r="BY22" s="616"/>
      <c r="BZ22" s="616"/>
      <c r="CA22" s="616"/>
      <c r="CB22" s="616"/>
      <c r="CC22" s="616"/>
      <c r="CD22" s="616"/>
      <c r="CE22" s="616"/>
      <c r="CF22" s="616"/>
      <c r="CG22" s="616"/>
      <c r="CH22" s="616"/>
      <c r="CI22" s="616"/>
      <c r="CJ22" s="616"/>
      <c r="CK22" s="616"/>
      <c r="CL22" s="616"/>
      <c r="CM22" s="616"/>
      <c r="CN22" s="616"/>
      <c r="CO22" s="616"/>
      <c r="CP22" s="616"/>
      <c r="CQ22" s="616"/>
      <c r="CR22" s="616"/>
      <c r="CS22" s="616"/>
      <c r="CT22" s="616"/>
      <c r="CU22" s="616"/>
      <c r="CV22" s="616"/>
      <c r="CW22" s="616"/>
      <c r="CX22" s="616"/>
      <c r="CY22" s="616"/>
      <c r="CZ22" s="616"/>
      <c r="DA22" s="616"/>
      <c r="DB22" s="616"/>
      <c r="DC22" s="616"/>
      <c r="DD22" s="616"/>
      <c r="DE22" s="616"/>
      <c r="DF22" s="616"/>
      <c r="DG22" s="616"/>
      <c r="DH22" s="616"/>
      <c r="DI22" s="616"/>
      <c r="DJ22" s="616"/>
      <c r="DK22" s="616"/>
      <c r="DL22" s="616"/>
      <c r="DM22" s="616"/>
      <c r="DN22" s="616"/>
      <c r="DO22" s="616"/>
      <c r="DP22" s="616"/>
      <c r="DQ22" s="616"/>
      <c r="DR22" s="616"/>
      <c r="DS22" s="616"/>
      <c r="DT22" s="616"/>
      <c r="DU22" s="616"/>
      <c r="DV22" s="616"/>
      <c r="DW22" s="616"/>
      <c r="DX22" s="616"/>
      <c r="DY22" s="616"/>
      <c r="DZ22" s="616"/>
      <c r="EA22" s="616"/>
      <c r="EB22" s="616"/>
      <c r="EC22" s="616"/>
      <c r="ED22" s="616"/>
      <c r="EE22" s="616"/>
      <c r="EF22" s="616"/>
      <c r="EG22" s="616"/>
      <c r="EH22" s="616"/>
      <c r="EI22" s="616"/>
      <c r="EJ22" s="616"/>
      <c r="EK22" s="616"/>
      <c r="EL22" s="616"/>
      <c r="EM22" s="616"/>
      <c r="EN22" s="616"/>
      <c r="EO22" s="616"/>
      <c r="EP22" s="616"/>
      <c r="EQ22" s="616"/>
      <c r="ER22" s="616"/>
      <c r="ES22" s="616"/>
      <c r="ET22" s="616"/>
      <c r="EU22" s="616"/>
      <c r="EV22" s="616"/>
      <c r="EW22" s="616"/>
      <c r="EX22" s="616"/>
      <c r="EY22" s="616"/>
      <c r="EZ22" s="616"/>
      <c r="FA22" s="616"/>
      <c r="FB22" s="616"/>
      <c r="FC22" s="616"/>
      <c r="FD22" s="616"/>
      <c r="FE22" s="616"/>
      <c r="FF22" s="616"/>
      <c r="FG22" s="616"/>
      <c r="FH22" s="616"/>
      <c r="FI22" s="616"/>
      <c r="FJ22" s="616"/>
      <c r="FK22" s="616"/>
      <c r="FL22" s="616"/>
      <c r="FM22" s="616"/>
      <c r="FN22" s="616"/>
      <c r="FO22" s="616"/>
      <c r="FP22" s="616"/>
      <c r="FQ22" s="616"/>
      <c r="FR22" s="616"/>
      <c r="FS22" s="616"/>
      <c r="FT22" s="616"/>
      <c r="FU22" s="616"/>
      <c r="FV22" s="616"/>
      <c r="FW22" s="616"/>
      <c r="FX22" s="616"/>
      <c r="FY22" s="616"/>
      <c r="FZ22" s="616"/>
      <c r="GA22" s="616"/>
      <c r="GB22" s="616"/>
      <c r="GC22" s="616"/>
      <c r="GD22" s="616"/>
      <c r="GE22" s="616"/>
      <c r="GF22" s="616"/>
      <c r="GG22" s="616"/>
      <c r="GH22" s="616"/>
      <c r="GI22" s="616"/>
      <c r="GJ22" s="616"/>
      <c r="GK22" s="616"/>
      <c r="GL22" s="616"/>
      <c r="GM22" s="616"/>
      <c r="GN22" s="616"/>
      <c r="GO22" s="616"/>
      <c r="GP22" s="616"/>
      <c r="GQ22" s="616"/>
      <c r="GR22" s="616"/>
      <c r="GS22" s="616"/>
      <c r="GT22" s="616"/>
      <c r="GU22" s="616"/>
      <c r="GV22" s="616"/>
      <c r="GW22" s="616"/>
      <c r="GX22" s="616"/>
      <c r="GY22" s="616"/>
      <c r="GZ22" s="616"/>
      <c r="HA22" s="616"/>
      <c r="HB22" s="616"/>
      <c r="HC22" s="616"/>
      <c r="HD22" s="616"/>
      <c r="HE22" s="616"/>
      <c r="HF22" s="616"/>
      <c r="HG22" s="616"/>
      <c r="HH22" s="616"/>
      <c r="HI22" s="616"/>
      <c r="HJ22" s="616"/>
      <c r="HK22" s="616"/>
      <c r="HL22" s="616"/>
      <c r="HM22" s="616"/>
      <c r="HN22" s="616"/>
      <c r="HO22" s="616"/>
      <c r="HP22" s="616"/>
      <c r="HQ22" s="616"/>
      <c r="HR22" s="616"/>
      <c r="HS22" s="616"/>
      <c r="HT22" s="616"/>
      <c r="HU22" s="616"/>
      <c r="HV22" s="616"/>
      <c r="HW22" s="616"/>
      <c r="HX22" s="616"/>
      <c r="HY22" s="616"/>
      <c r="HZ22" s="616"/>
      <c r="IA22" s="616"/>
      <c r="IB22" s="616"/>
      <c r="IC22" s="616"/>
      <c r="ID22" s="616"/>
      <c r="IE22" s="616"/>
      <c r="IF22" s="616"/>
      <c r="IG22" s="616"/>
      <c r="IH22" s="616"/>
      <c r="II22" s="616"/>
      <c r="IJ22" s="616"/>
      <c r="IK22" s="616"/>
      <c r="IL22" s="616"/>
      <c r="IM22" s="616"/>
      <c r="IN22" s="616"/>
      <c r="IO22" s="616"/>
      <c r="IP22" s="616"/>
      <c r="IQ22" s="616"/>
      <c r="IR22" s="616"/>
      <c r="IS22" s="616"/>
      <c r="IT22" s="616"/>
      <c r="IU22" s="616"/>
      <c r="IV22" s="616"/>
    </row>
    <row r="23" spans="1:256">
      <c r="A23" s="620">
        <f t="shared" si="2"/>
        <v>10</v>
      </c>
      <c r="B23" s="617" t="s">
        <v>324</v>
      </c>
      <c r="C23" s="629">
        <f t="shared" si="3"/>
        <v>0</v>
      </c>
      <c r="D23" s="629">
        <f t="shared" si="5"/>
        <v>0</v>
      </c>
      <c r="E23" s="617">
        <v>31</v>
      </c>
      <c r="F23" s="446">
        <v>215</v>
      </c>
      <c r="G23" s="630">
        <f t="shared" si="0"/>
        <v>0.58904109589041098</v>
      </c>
      <c r="H23" s="629">
        <f t="shared" si="1"/>
        <v>0</v>
      </c>
      <c r="I23" s="629">
        <f>I22+H23</f>
        <v>0</v>
      </c>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616"/>
      <c r="AK23" s="616"/>
      <c r="AL23" s="616"/>
      <c r="AM23" s="616"/>
      <c r="AN23" s="616"/>
      <c r="AO23" s="616"/>
      <c r="AP23" s="616"/>
      <c r="AQ23" s="616"/>
      <c r="AR23" s="616"/>
      <c r="AS23" s="616"/>
      <c r="AT23" s="616"/>
      <c r="AU23" s="616"/>
      <c r="AV23" s="616"/>
      <c r="AW23" s="616"/>
      <c r="AX23" s="616"/>
      <c r="AY23" s="616"/>
      <c r="AZ23" s="616"/>
      <c r="BA23" s="616"/>
      <c r="BB23" s="616"/>
      <c r="BC23" s="616"/>
      <c r="BD23" s="616"/>
      <c r="BE23" s="616"/>
      <c r="BF23" s="616"/>
      <c r="BG23" s="616"/>
      <c r="BH23" s="616"/>
      <c r="BI23" s="616"/>
      <c r="BJ23" s="616"/>
      <c r="BK23" s="616"/>
      <c r="BL23" s="616"/>
      <c r="BM23" s="616"/>
      <c r="BN23" s="616"/>
      <c r="BO23" s="616"/>
      <c r="BP23" s="616"/>
      <c r="BQ23" s="616"/>
      <c r="BR23" s="616"/>
      <c r="BS23" s="616"/>
      <c r="BT23" s="616"/>
      <c r="BU23" s="616"/>
      <c r="BV23" s="616"/>
      <c r="BW23" s="616"/>
      <c r="BX23" s="616"/>
      <c r="BY23" s="616"/>
      <c r="BZ23" s="616"/>
      <c r="CA23" s="616"/>
      <c r="CB23" s="616"/>
      <c r="CC23" s="616"/>
      <c r="CD23" s="616"/>
      <c r="CE23" s="616"/>
      <c r="CF23" s="616"/>
      <c r="CG23" s="616"/>
      <c r="CH23" s="616"/>
      <c r="CI23" s="616"/>
      <c r="CJ23" s="616"/>
      <c r="CK23" s="616"/>
      <c r="CL23" s="616"/>
      <c r="CM23" s="616"/>
      <c r="CN23" s="616"/>
      <c r="CO23" s="616"/>
      <c r="CP23" s="616"/>
      <c r="CQ23" s="616"/>
      <c r="CR23" s="616"/>
      <c r="CS23" s="616"/>
      <c r="CT23" s="616"/>
      <c r="CU23" s="616"/>
      <c r="CV23" s="616"/>
      <c r="CW23" s="616"/>
      <c r="CX23" s="616"/>
      <c r="CY23" s="616"/>
      <c r="CZ23" s="616"/>
      <c r="DA23" s="616"/>
      <c r="DB23" s="616"/>
      <c r="DC23" s="616"/>
      <c r="DD23" s="616"/>
      <c r="DE23" s="616"/>
      <c r="DF23" s="616"/>
      <c r="DG23" s="616"/>
      <c r="DH23" s="616"/>
      <c r="DI23" s="616"/>
      <c r="DJ23" s="616"/>
      <c r="DK23" s="616"/>
      <c r="DL23" s="616"/>
      <c r="DM23" s="616"/>
      <c r="DN23" s="616"/>
      <c r="DO23" s="616"/>
      <c r="DP23" s="616"/>
      <c r="DQ23" s="616"/>
      <c r="DR23" s="616"/>
      <c r="DS23" s="616"/>
      <c r="DT23" s="616"/>
      <c r="DU23" s="616"/>
      <c r="DV23" s="616"/>
      <c r="DW23" s="616"/>
      <c r="DX23" s="616"/>
      <c r="DY23" s="616"/>
      <c r="DZ23" s="616"/>
      <c r="EA23" s="616"/>
      <c r="EB23" s="616"/>
      <c r="EC23" s="616"/>
      <c r="ED23" s="616"/>
      <c r="EE23" s="616"/>
      <c r="EF23" s="616"/>
      <c r="EG23" s="616"/>
      <c r="EH23" s="616"/>
      <c r="EI23" s="616"/>
      <c r="EJ23" s="616"/>
      <c r="EK23" s="616"/>
      <c r="EL23" s="616"/>
      <c r="EM23" s="616"/>
      <c r="EN23" s="616"/>
      <c r="EO23" s="616"/>
      <c r="EP23" s="616"/>
      <c r="EQ23" s="616"/>
      <c r="ER23" s="616"/>
      <c r="ES23" s="616"/>
      <c r="ET23" s="616"/>
      <c r="EU23" s="616"/>
      <c r="EV23" s="616"/>
      <c r="EW23" s="616"/>
      <c r="EX23" s="616"/>
      <c r="EY23" s="616"/>
      <c r="EZ23" s="616"/>
      <c r="FA23" s="616"/>
      <c r="FB23" s="616"/>
      <c r="FC23" s="616"/>
      <c r="FD23" s="616"/>
      <c r="FE23" s="616"/>
      <c r="FF23" s="616"/>
      <c r="FG23" s="616"/>
      <c r="FH23" s="616"/>
      <c r="FI23" s="616"/>
      <c r="FJ23" s="616"/>
      <c r="FK23" s="616"/>
      <c r="FL23" s="616"/>
      <c r="FM23" s="616"/>
      <c r="FN23" s="616"/>
      <c r="FO23" s="616"/>
      <c r="FP23" s="616"/>
      <c r="FQ23" s="616"/>
      <c r="FR23" s="616"/>
      <c r="FS23" s="616"/>
      <c r="FT23" s="616"/>
      <c r="FU23" s="616"/>
      <c r="FV23" s="616"/>
      <c r="FW23" s="616"/>
      <c r="FX23" s="616"/>
      <c r="FY23" s="616"/>
      <c r="FZ23" s="616"/>
      <c r="GA23" s="616"/>
      <c r="GB23" s="616"/>
      <c r="GC23" s="616"/>
      <c r="GD23" s="616"/>
      <c r="GE23" s="616"/>
      <c r="GF23" s="616"/>
      <c r="GG23" s="616"/>
      <c r="GH23" s="616"/>
      <c r="GI23" s="616"/>
      <c r="GJ23" s="616"/>
      <c r="GK23" s="616"/>
      <c r="GL23" s="616"/>
      <c r="GM23" s="616"/>
      <c r="GN23" s="616"/>
      <c r="GO23" s="616"/>
      <c r="GP23" s="616"/>
      <c r="GQ23" s="616"/>
      <c r="GR23" s="616"/>
      <c r="GS23" s="616"/>
      <c r="GT23" s="616"/>
      <c r="GU23" s="616"/>
      <c r="GV23" s="616"/>
      <c r="GW23" s="616"/>
      <c r="GX23" s="616"/>
      <c r="GY23" s="616"/>
      <c r="GZ23" s="616"/>
      <c r="HA23" s="616"/>
      <c r="HB23" s="616"/>
      <c r="HC23" s="616"/>
      <c r="HD23" s="616"/>
      <c r="HE23" s="616"/>
      <c r="HF23" s="616"/>
      <c r="HG23" s="616"/>
      <c r="HH23" s="616"/>
      <c r="HI23" s="616"/>
      <c r="HJ23" s="616"/>
      <c r="HK23" s="616"/>
      <c r="HL23" s="616"/>
      <c r="HM23" s="616"/>
      <c r="HN23" s="616"/>
      <c r="HO23" s="616"/>
      <c r="HP23" s="616"/>
      <c r="HQ23" s="616"/>
      <c r="HR23" s="616"/>
      <c r="HS23" s="616"/>
      <c r="HT23" s="616"/>
      <c r="HU23" s="616"/>
      <c r="HV23" s="616"/>
      <c r="HW23" s="616"/>
      <c r="HX23" s="616"/>
      <c r="HY23" s="616"/>
      <c r="HZ23" s="616"/>
      <c r="IA23" s="616"/>
      <c r="IB23" s="616"/>
      <c r="IC23" s="616"/>
      <c r="ID23" s="616"/>
      <c r="IE23" s="616"/>
      <c r="IF23" s="616"/>
      <c r="IG23" s="616"/>
      <c r="IH23" s="616"/>
      <c r="II23" s="616"/>
      <c r="IJ23" s="616"/>
      <c r="IK23" s="616"/>
      <c r="IL23" s="616"/>
      <c r="IM23" s="616"/>
      <c r="IN23" s="616"/>
      <c r="IO23" s="616"/>
      <c r="IP23" s="616"/>
      <c r="IQ23" s="616"/>
      <c r="IR23" s="616"/>
      <c r="IS23" s="616"/>
      <c r="IT23" s="616"/>
      <c r="IU23" s="616"/>
      <c r="IV23" s="616"/>
    </row>
    <row r="24" spans="1:256">
      <c r="A24" s="620">
        <f t="shared" si="2"/>
        <v>11</v>
      </c>
      <c r="B24" s="617" t="s">
        <v>48</v>
      </c>
      <c r="C24" s="629">
        <f t="shared" si="3"/>
        <v>0</v>
      </c>
      <c r="D24" s="629">
        <f t="shared" si="5"/>
        <v>0</v>
      </c>
      <c r="E24" s="617">
        <v>30</v>
      </c>
      <c r="F24" s="446">
        <v>185</v>
      </c>
      <c r="G24" s="630">
        <f t="shared" si="0"/>
        <v>0.50684931506849318</v>
      </c>
      <c r="H24" s="629">
        <f t="shared" si="1"/>
        <v>0</v>
      </c>
      <c r="I24" s="629">
        <f>I23+H24</f>
        <v>0</v>
      </c>
      <c r="J24" s="616"/>
      <c r="K24" s="616"/>
      <c r="L24" s="616"/>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6"/>
      <c r="AJ24" s="616"/>
      <c r="AK24" s="616"/>
      <c r="AL24" s="616"/>
      <c r="AM24" s="616"/>
      <c r="AN24" s="616"/>
      <c r="AO24" s="616"/>
      <c r="AP24" s="616"/>
      <c r="AQ24" s="616"/>
      <c r="AR24" s="616"/>
      <c r="AS24" s="616"/>
      <c r="AT24" s="616"/>
      <c r="AU24" s="616"/>
      <c r="AV24" s="616"/>
      <c r="AW24" s="616"/>
      <c r="AX24" s="616"/>
      <c r="AY24" s="616"/>
      <c r="AZ24" s="616"/>
      <c r="BA24" s="616"/>
      <c r="BB24" s="616"/>
      <c r="BC24" s="616"/>
      <c r="BD24" s="616"/>
      <c r="BE24" s="616"/>
      <c r="BF24" s="616"/>
      <c r="BG24" s="616"/>
      <c r="BH24" s="616"/>
      <c r="BI24" s="616"/>
      <c r="BJ24" s="616"/>
      <c r="BK24" s="616"/>
      <c r="BL24" s="616"/>
      <c r="BM24" s="616"/>
      <c r="BN24" s="616"/>
      <c r="BO24" s="616"/>
      <c r="BP24" s="616"/>
      <c r="BQ24" s="616"/>
      <c r="BR24" s="616"/>
      <c r="BS24" s="616"/>
      <c r="BT24" s="616"/>
      <c r="BU24" s="616"/>
      <c r="BV24" s="616"/>
      <c r="BW24" s="616"/>
      <c r="BX24" s="616"/>
      <c r="BY24" s="616"/>
      <c r="BZ24" s="616"/>
      <c r="CA24" s="616"/>
      <c r="CB24" s="616"/>
      <c r="CC24" s="616"/>
      <c r="CD24" s="616"/>
      <c r="CE24" s="616"/>
      <c r="CF24" s="616"/>
      <c r="CG24" s="616"/>
      <c r="CH24" s="616"/>
      <c r="CI24" s="616"/>
      <c r="CJ24" s="616"/>
      <c r="CK24" s="616"/>
      <c r="CL24" s="616"/>
      <c r="CM24" s="616"/>
      <c r="CN24" s="616"/>
      <c r="CO24" s="616"/>
      <c r="CP24" s="616"/>
      <c r="CQ24" s="616"/>
      <c r="CR24" s="616"/>
      <c r="CS24" s="616"/>
      <c r="CT24" s="616"/>
      <c r="CU24" s="616"/>
      <c r="CV24" s="616"/>
      <c r="CW24" s="616"/>
      <c r="CX24" s="616"/>
      <c r="CY24" s="616"/>
      <c r="CZ24" s="616"/>
      <c r="DA24" s="616"/>
      <c r="DB24" s="616"/>
      <c r="DC24" s="616"/>
      <c r="DD24" s="616"/>
      <c r="DE24" s="616"/>
      <c r="DF24" s="616"/>
      <c r="DG24" s="616"/>
      <c r="DH24" s="616"/>
      <c r="DI24" s="616"/>
      <c r="DJ24" s="616"/>
      <c r="DK24" s="616"/>
      <c r="DL24" s="616"/>
      <c r="DM24" s="616"/>
      <c r="DN24" s="616"/>
      <c r="DO24" s="616"/>
      <c r="DP24" s="616"/>
      <c r="DQ24" s="616"/>
      <c r="DR24" s="616"/>
      <c r="DS24" s="616"/>
      <c r="DT24" s="616"/>
      <c r="DU24" s="616"/>
      <c r="DV24" s="616"/>
      <c r="DW24" s="616"/>
      <c r="DX24" s="616"/>
      <c r="DY24" s="616"/>
      <c r="DZ24" s="616"/>
      <c r="EA24" s="616"/>
      <c r="EB24" s="616"/>
      <c r="EC24" s="616"/>
      <c r="ED24" s="616"/>
      <c r="EE24" s="616"/>
      <c r="EF24" s="616"/>
      <c r="EG24" s="616"/>
      <c r="EH24" s="616"/>
      <c r="EI24" s="616"/>
      <c r="EJ24" s="616"/>
      <c r="EK24" s="616"/>
      <c r="EL24" s="616"/>
      <c r="EM24" s="616"/>
      <c r="EN24" s="616"/>
      <c r="EO24" s="616"/>
      <c r="EP24" s="616"/>
      <c r="EQ24" s="616"/>
      <c r="ER24" s="616"/>
      <c r="ES24" s="616"/>
      <c r="ET24" s="616"/>
      <c r="EU24" s="616"/>
      <c r="EV24" s="616"/>
      <c r="EW24" s="616"/>
      <c r="EX24" s="616"/>
      <c r="EY24" s="616"/>
      <c r="EZ24" s="616"/>
      <c r="FA24" s="616"/>
      <c r="FB24" s="616"/>
      <c r="FC24" s="616"/>
      <c r="FD24" s="616"/>
      <c r="FE24" s="616"/>
      <c r="FF24" s="616"/>
      <c r="FG24" s="616"/>
      <c r="FH24" s="616"/>
      <c r="FI24" s="616"/>
      <c r="FJ24" s="616"/>
      <c r="FK24" s="616"/>
      <c r="FL24" s="616"/>
      <c r="FM24" s="616"/>
      <c r="FN24" s="616"/>
      <c r="FO24" s="616"/>
      <c r="FP24" s="616"/>
      <c r="FQ24" s="616"/>
      <c r="FR24" s="616"/>
      <c r="FS24" s="616"/>
      <c r="FT24" s="616"/>
      <c r="FU24" s="616"/>
      <c r="FV24" s="616"/>
      <c r="FW24" s="616"/>
      <c r="FX24" s="616"/>
      <c r="FY24" s="616"/>
      <c r="FZ24" s="616"/>
      <c r="GA24" s="616"/>
      <c r="GB24" s="616"/>
      <c r="GC24" s="616"/>
      <c r="GD24" s="616"/>
      <c r="GE24" s="616"/>
      <c r="GF24" s="616"/>
      <c r="GG24" s="616"/>
      <c r="GH24" s="616"/>
      <c r="GI24" s="616"/>
      <c r="GJ24" s="616"/>
      <c r="GK24" s="616"/>
      <c r="GL24" s="616"/>
      <c r="GM24" s="616"/>
      <c r="GN24" s="616"/>
      <c r="GO24" s="616"/>
      <c r="GP24" s="616"/>
      <c r="GQ24" s="616"/>
      <c r="GR24" s="616"/>
      <c r="GS24" s="616"/>
      <c r="GT24" s="616"/>
      <c r="GU24" s="616"/>
      <c r="GV24" s="616"/>
      <c r="GW24" s="616"/>
      <c r="GX24" s="616"/>
      <c r="GY24" s="616"/>
      <c r="GZ24" s="616"/>
      <c r="HA24" s="616"/>
      <c r="HB24" s="616"/>
      <c r="HC24" s="616"/>
      <c r="HD24" s="616"/>
      <c r="HE24" s="616"/>
      <c r="HF24" s="616"/>
      <c r="HG24" s="616"/>
      <c r="HH24" s="616"/>
      <c r="HI24" s="616"/>
      <c r="HJ24" s="616"/>
      <c r="HK24" s="616"/>
      <c r="HL24" s="616"/>
      <c r="HM24" s="616"/>
      <c r="HN24" s="616"/>
      <c r="HO24" s="616"/>
      <c r="HP24" s="616"/>
      <c r="HQ24" s="616"/>
      <c r="HR24" s="616"/>
      <c r="HS24" s="616"/>
      <c r="HT24" s="616"/>
      <c r="HU24" s="616"/>
      <c r="HV24" s="616"/>
      <c r="HW24" s="616"/>
      <c r="HX24" s="616"/>
      <c r="HY24" s="616"/>
      <c r="HZ24" s="616"/>
      <c r="IA24" s="616"/>
      <c r="IB24" s="616"/>
      <c r="IC24" s="616"/>
      <c r="ID24" s="616"/>
      <c r="IE24" s="616"/>
      <c r="IF24" s="616"/>
      <c r="IG24" s="616"/>
      <c r="IH24" s="616"/>
      <c r="II24" s="616"/>
      <c r="IJ24" s="616"/>
      <c r="IK24" s="616"/>
      <c r="IL24" s="616"/>
      <c r="IM24" s="616"/>
      <c r="IN24" s="616"/>
      <c r="IO24" s="616"/>
      <c r="IP24" s="616"/>
      <c r="IQ24" s="616"/>
      <c r="IR24" s="616"/>
      <c r="IS24" s="616"/>
      <c r="IT24" s="616"/>
      <c r="IU24" s="616"/>
      <c r="IV24" s="616"/>
    </row>
    <row r="25" spans="1:256">
      <c r="A25" s="620">
        <f t="shared" si="2"/>
        <v>12</v>
      </c>
      <c r="B25" s="617" t="s">
        <v>325</v>
      </c>
      <c r="C25" s="629">
        <f t="shared" si="3"/>
        <v>0</v>
      </c>
      <c r="D25" s="629">
        <f t="shared" si="5"/>
        <v>0</v>
      </c>
      <c r="E25" s="617">
        <v>31</v>
      </c>
      <c r="F25" s="446">
        <v>154</v>
      </c>
      <c r="G25" s="630">
        <f t="shared" si="0"/>
        <v>0.42191780821917807</v>
      </c>
      <c r="H25" s="629">
        <f t="shared" si="1"/>
        <v>0</v>
      </c>
      <c r="I25" s="629">
        <f t="shared" si="4"/>
        <v>0</v>
      </c>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616"/>
      <c r="AM25" s="616"/>
      <c r="AN25" s="616"/>
      <c r="AO25" s="616"/>
      <c r="AP25" s="616"/>
      <c r="AQ25" s="616"/>
      <c r="AR25" s="616"/>
      <c r="AS25" s="616"/>
      <c r="AT25" s="616"/>
      <c r="AU25" s="616"/>
      <c r="AV25" s="616"/>
      <c r="AW25" s="616"/>
      <c r="AX25" s="616"/>
      <c r="AY25" s="616"/>
      <c r="AZ25" s="616"/>
      <c r="BA25" s="616"/>
      <c r="BB25" s="616"/>
      <c r="BC25" s="616"/>
      <c r="BD25" s="616"/>
      <c r="BE25" s="616"/>
      <c r="BF25" s="616"/>
      <c r="BG25" s="616"/>
      <c r="BH25" s="616"/>
      <c r="BI25" s="616"/>
      <c r="BJ25" s="616"/>
      <c r="BK25" s="616"/>
      <c r="BL25" s="616"/>
      <c r="BM25" s="616"/>
      <c r="BN25" s="616"/>
      <c r="BO25" s="616"/>
      <c r="BP25" s="616"/>
      <c r="BQ25" s="616"/>
      <c r="BR25" s="616"/>
      <c r="BS25" s="616"/>
      <c r="BT25" s="616"/>
      <c r="BU25" s="616"/>
      <c r="BV25" s="616"/>
      <c r="BW25" s="616"/>
      <c r="BX25" s="616"/>
      <c r="BY25" s="616"/>
      <c r="BZ25" s="616"/>
      <c r="CA25" s="616"/>
      <c r="CB25" s="616"/>
      <c r="CC25" s="616"/>
      <c r="CD25" s="616"/>
      <c r="CE25" s="616"/>
      <c r="CF25" s="616"/>
      <c r="CG25" s="616"/>
      <c r="CH25" s="616"/>
      <c r="CI25" s="616"/>
      <c r="CJ25" s="616"/>
      <c r="CK25" s="616"/>
      <c r="CL25" s="616"/>
      <c r="CM25" s="616"/>
      <c r="CN25" s="616"/>
      <c r="CO25" s="616"/>
      <c r="CP25" s="616"/>
      <c r="CQ25" s="616"/>
      <c r="CR25" s="616"/>
      <c r="CS25" s="616"/>
      <c r="CT25" s="616"/>
      <c r="CU25" s="616"/>
      <c r="CV25" s="616"/>
      <c r="CW25" s="616"/>
      <c r="CX25" s="616"/>
      <c r="CY25" s="616"/>
      <c r="CZ25" s="616"/>
      <c r="DA25" s="616"/>
      <c r="DB25" s="616"/>
      <c r="DC25" s="616"/>
      <c r="DD25" s="616"/>
      <c r="DE25" s="616"/>
      <c r="DF25" s="616"/>
      <c r="DG25" s="616"/>
      <c r="DH25" s="616"/>
      <c r="DI25" s="616"/>
      <c r="DJ25" s="616"/>
      <c r="DK25" s="616"/>
      <c r="DL25" s="616"/>
      <c r="DM25" s="616"/>
      <c r="DN25" s="616"/>
      <c r="DO25" s="616"/>
      <c r="DP25" s="616"/>
      <c r="DQ25" s="616"/>
      <c r="DR25" s="616"/>
      <c r="DS25" s="616"/>
      <c r="DT25" s="616"/>
      <c r="DU25" s="616"/>
      <c r="DV25" s="616"/>
      <c r="DW25" s="616"/>
      <c r="DX25" s="616"/>
      <c r="DY25" s="616"/>
      <c r="DZ25" s="616"/>
      <c r="EA25" s="616"/>
      <c r="EB25" s="616"/>
      <c r="EC25" s="616"/>
      <c r="ED25" s="616"/>
      <c r="EE25" s="616"/>
      <c r="EF25" s="616"/>
      <c r="EG25" s="616"/>
      <c r="EH25" s="616"/>
      <c r="EI25" s="616"/>
      <c r="EJ25" s="616"/>
      <c r="EK25" s="616"/>
      <c r="EL25" s="616"/>
      <c r="EM25" s="616"/>
      <c r="EN25" s="616"/>
      <c r="EO25" s="616"/>
      <c r="EP25" s="616"/>
      <c r="EQ25" s="616"/>
      <c r="ER25" s="616"/>
      <c r="ES25" s="616"/>
      <c r="ET25" s="616"/>
      <c r="EU25" s="616"/>
      <c r="EV25" s="616"/>
      <c r="EW25" s="616"/>
      <c r="EX25" s="616"/>
      <c r="EY25" s="616"/>
      <c r="EZ25" s="616"/>
      <c r="FA25" s="616"/>
      <c r="FB25" s="616"/>
      <c r="FC25" s="616"/>
      <c r="FD25" s="616"/>
      <c r="FE25" s="616"/>
      <c r="FF25" s="616"/>
      <c r="FG25" s="616"/>
      <c r="FH25" s="616"/>
      <c r="FI25" s="616"/>
      <c r="FJ25" s="616"/>
      <c r="FK25" s="616"/>
      <c r="FL25" s="616"/>
      <c r="FM25" s="616"/>
      <c r="FN25" s="616"/>
      <c r="FO25" s="616"/>
      <c r="FP25" s="616"/>
      <c r="FQ25" s="616"/>
      <c r="FR25" s="616"/>
      <c r="FS25" s="616"/>
      <c r="FT25" s="616"/>
      <c r="FU25" s="616"/>
      <c r="FV25" s="616"/>
      <c r="FW25" s="616"/>
      <c r="FX25" s="616"/>
      <c r="FY25" s="616"/>
      <c r="FZ25" s="616"/>
      <c r="GA25" s="616"/>
      <c r="GB25" s="616"/>
      <c r="GC25" s="616"/>
      <c r="GD25" s="616"/>
      <c r="GE25" s="616"/>
      <c r="GF25" s="616"/>
      <c r="GG25" s="616"/>
      <c r="GH25" s="616"/>
      <c r="GI25" s="616"/>
      <c r="GJ25" s="616"/>
      <c r="GK25" s="616"/>
      <c r="GL25" s="616"/>
      <c r="GM25" s="616"/>
      <c r="GN25" s="616"/>
      <c r="GO25" s="616"/>
      <c r="GP25" s="616"/>
      <c r="GQ25" s="616"/>
      <c r="GR25" s="616"/>
      <c r="GS25" s="616"/>
      <c r="GT25" s="616"/>
      <c r="GU25" s="616"/>
      <c r="GV25" s="616"/>
      <c r="GW25" s="616"/>
      <c r="GX25" s="616"/>
      <c r="GY25" s="616"/>
      <c r="GZ25" s="616"/>
      <c r="HA25" s="616"/>
      <c r="HB25" s="616"/>
      <c r="HC25" s="616"/>
      <c r="HD25" s="616"/>
      <c r="HE25" s="616"/>
      <c r="HF25" s="616"/>
      <c r="HG25" s="616"/>
      <c r="HH25" s="616"/>
      <c r="HI25" s="616"/>
      <c r="HJ25" s="616"/>
      <c r="HK25" s="616"/>
      <c r="HL25" s="616"/>
      <c r="HM25" s="616"/>
      <c r="HN25" s="616"/>
      <c r="HO25" s="616"/>
      <c r="HP25" s="616"/>
      <c r="HQ25" s="616"/>
      <c r="HR25" s="616"/>
      <c r="HS25" s="616"/>
      <c r="HT25" s="616"/>
      <c r="HU25" s="616"/>
      <c r="HV25" s="616"/>
      <c r="HW25" s="616"/>
      <c r="HX25" s="616"/>
      <c r="HY25" s="616"/>
      <c r="HZ25" s="616"/>
      <c r="IA25" s="616"/>
      <c r="IB25" s="616"/>
      <c r="IC25" s="616"/>
      <c r="ID25" s="616"/>
      <c r="IE25" s="616"/>
      <c r="IF25" s="616"/>
      <c r="IG25" s="616"/>
      <c r="IH25" s="616"/>
      <c r="II25" s="616"/>
      <c r="IJ25" s="616"/>
      <c r="IK25" s="616"/>
      <c r="IL25" s="616"/>
      <c r="IM25" s="616"/>
      <c r="IN25" s="616"/>
      <c r="IO25" s="616"/>
      <c r="IP25" s="616"/>
      <c r="IQ25" s="616"/>
      <c r="IR25" s="616"/>
      <c r="IS25" s="616"/>
      <c r="IT25" s="616"/>
      <c r="IU25" s="616"/>
      <c r="IV25" s="616"/>
    </row>
    <row r="26" spans="1:256">
      <c r="A26" s="620">
        <f t="shared" si="2"/>
        <v>13</v>
      </c>
      <c r="B26" s="617" t="s">
        <v>326</v>
      </c>
      <c r="C26" s="629">
        <f t="shared" si="3"/>
        <v>0</v>
      </c>
      <c r="D26" s="629">
        <f t="shared" si="5"/>
        <v>0</v>
      </c>
      <c r="E26" s="617">
        <v>31</v>
      </c>
      <c r="F26" s="446">
        <v>123</v>
      </c>
      <c r="G26" s="630">
        <f t="shared" si="0"/>
        <v>0.33698630136986302</v>
      </c>
      <c r="H26" s="629">
        <f t="shared" si="1"/>
        <v>0</v>
      </c>
      <c r="I26" s="629">
        <f t="shared" si="4"/>
        <v>0</v>
      </c>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6"/>
      <c r="AH26" s="616"/>
      <c r="AI26" s="616"/>
      <c r="AJ26" s="616"/>
      <c r="AK26" s="616"/>
      <c r="AL26" s="616"/>
      <c r="AM26" s="616"/>
      <c r="AN26" s="616"/>
      <c r="AO26" s="616"/>
      <c r="AP26" s="616"/>
      <c r="AQ26" s="616"/>
      <c r="AR26" s="616"/>
      <c r="AS26" s="616"/>
      <c r="AT26" s="616"/>
      <c r="AU26" s="616"/>
      <c r="AV26" s="616"/>
      <c r="AW26" s="616"/>
      <c r="AX26" s="616"/>
      <c r="AY26" s="616"/>
      <c r="AZ26" s="616"/>
      <c r="BA26" s="616"/>
      <c r="BB26" s="616"/>
      <c r="BC26" s="616"/>
      <c r="BD26" s="616"/>
      <c r="BE26" s="616"/>
      <c r="BF26" s="616"/>
      <c r="BG26" s="616"/>
      <c r="BH26" s="616"/>
      <c r="BI26" s="616"/>
      <c r="BJ26" s="616"/>
      <c r="BK26" s="616"/>
      <c r="BL26" s="616"/>
      <c r="BM26" s="616"/>
      <c r="BN26" s="616"/>
      <c r="BO26" s="616"/>
      <c r="BP26" s="616"/>
      <c r="BQ26" s="616"/>
      <c r="BR26" s="616"/>
      <c r="BS26" s="616"/>
      <c r="BT26" s="616"/>
      <c r="BU26" s="616"/>
      <c r="BV26" s="616"/>
      <c r="BW26" s="616"/>
      <c r="BX26" s="616"/>
      <c r="BY26" s="616"/>
      <c r="BZ26" s="616"/>
      <c r="CA26" s="616"/>
      <c r="CB26" s="616"/>
      <c r="CC26" s="616"/>
      <c r="CD26" s="616"/>
      <c r="CE26" s="616"/>
      <c r="CF26" s="616"/>
      <c r="CG26" s="616"/>
      <c r="CH26" s="616"/>
      <c r="CI26" s="616"/>
      <c r="CJ26" s="616"/>
      <c r="CK26" s="616"/>
      <c r="CL26" s="616"/>
      <c r="CM26" s="616"/>
      <c r="CN26" s="616"/>
      <c r="CO26" s="616"/>
      <c r="CP26" s="616"/>
      <c r="CQ26" s="616"/>
      <c r="CR26" s="616"/>
      <c r="CS26" s="616"/>
      <c r="CT26" s="616"/>
      <c r="CU26" s="616"/>
      <c r="CV26" s="616"/>
      <c r="CW26" s="616"/>
      <c r="CX26" s="616"/>
      <c r="CY26" s="616"/>
      <c r="CZ26" s="616"/>
      <c r="DA26" s="616"/>
      <c r="DB26" s="616"/>
      <c r="DC26" s="616"/>
      <c r="DD26" s="616"/>
      <c r="DE26" s="616"/>
      <c r="DF26" s="616"/>
      <c r="DG26" s="616"/>
      <c r="DH26" s="616"/>
      <c r="DI26" s="616"/>
      <c r="DJ26" s="616"/>
      <c r="DK26" s="616"/>
      <c r="DL26" s="616"/>
      <c r="DM26" s="616"/>
      <c r="DN26" s="616"/>
      <c r="DO26" s="616"/>
      <c r="DP26" s="616"/>
      <c r="DQ26" s="616"/>
      <c r="DR26" s="616"/>
      <c r="DS26" s="616"/>
      <c r="DT26" s="616"/>
      <c r="DU26" s="616"/>
      <c r="DV26" s="616"/>
      <c r="DW26" s="616"/>
      <c r="DX26" s="616"/>
      <c r="DY26" s="616"/>
      <c r="DZ26" s="616"/>
      <c r="EA26" s="616"/>
      <c r="EB26" s="616"/>
      <c r="EC26" s="616"/>
      <c r="ED26" s="616"/>
      <c r="EE26" s="616"/>
      <c r="EF26" s="616"/>
      <c r="EG26" s="616"/>
      <c r="EH26" s="616"/>
      <c r="EI26" s="616"/>
      <c r="EJ26" s="616"/>
      <c r="EK26" s="616"/>
      <c r="EL26" s="616"/>
      <c r="EM26" s="616"/>
      <c r="EN26" s="616"/>
      <c r="EO26" s="616"/>
      <c r="EP26" s="616"/>
      <c r="EQ26" s="616"/>
      <c r="ER26" s="616"/>
      <c r="ES26" s="616"/>
      <c r="ET26" s="616"/>
      <c r="EU26" s="616"/>
      <c r="EV26" s="616"/>
      <c r="EW26" s="616"/>
      <c r="EX26" s="616"/>
      <c r="EY26" s="616"/>
      <c r="EZ26" s="616"/>
      <c r="FA26" s="616"/>
      <c r="FB26" s="616"/>
      <c r="FC26" s="616"/>
      <c r="FD26" s="616"/>
      <c r="FE26" s="616"/>
      <c r="FF26" s="616"/>
      <c r="FG26" s="616"/>
      <c r="FH26" s="616"/>
      <c r="FI26" s="616"/>
      <c r="FJ26" s="616"/>
      <c r="FK26" s="616"/>
      <c r="FL26" s="616"/>
      <c r="FM26" s="616"/>
      <c r="FN26" s="616"/>
      <c r="FO26" s="616"/>
      <c r="FP26" s="616"/>
      <c r="FQ26" s="616"/>
      <c r="FR26" s="616"/>
      <c r="FS26" s="616"/>
      <c r="FT26" s="616"/>
      <c r="FU26" s="616"/>
      <c r="FV26" s="616"/>
      <c r="FW26" s="616"/>
      <c r="FX26" s="616"/>
      <c r="FY26" s="616"/>
      <c r="FZ26" s="616"/>
      <c r="GA26" s="616"/>
      <c r="GB26" s="616"/>
      <c r="GC26" s="616"/>
      <c r="GD26" s="616"/>
      <c r="GE26" s="616"/>
      <c r="GF26" s="616"/>
      <c r="GG26" s="616"/>
      <c r="GH26" s="616"/>
      <c r="GI26" s="616"/>
      <c r="GJ26" s="616"/>
      <c r="GK26" s="616"/>
      <c r="GL26" s="616"/>
      <c r="GM26" s="616"/>
      <c r="GN26" s="616"/>
      <c r="GO26" s="616"/>
      <c r="GP26" s="616"/>
      <c r="GQ26" s="616"/>
      <c r="GR26" s="616"/>
      <c r="GS26" s="616"/>
      <c r="GT26" s="616"/>
      <c r="GU26" s="616"/>
      <c r="GV26" s="616"/>
      <c r="GW26" s="616"/>
      <c r="GX26" s="616"/>
      <c r="GY26" s="616"/>
      <c r="GZ26" s="616"/>
      <c r="HA26" s="616"/>
      <c r="HB26" s="616"/>
      <c r="HC26" s="616"/>
      <c r="HD26" s="616"/>
      <c r="HE26" s="616"/>
      <c r="HF26" s="616"/>
      <c r="HG26" s="616"/>
      <c r="HH26" s="616"/>
      <c r="HI26" s="616"/>
      <c r="HJ26" s="616"/>
      <c r="HK26" s="616"/>
      <c r="HL26" s="616"/>
      <c r="HM26" s="616"/>
      <c r="HN26" s="616"/>
      <c r="HO26" s="616"/>
      <c r="HP26" s="616"/>
      <c r="HQ26" s="616"/>
      <c r="HR26" s="616"/>
      <c r="HS26" s="616"/>
      <c r="HT26" s="616"/>
      <c r="HU26" s="616"/>
      <c r="HV26" s="616"/>
      <c r="HW26" s="616"/>
      <c r="HX26" s="616"/>
      <c r="HY26" s="616"/>
      <c r="HZ26" s="616"/>
      <c r="IA26" s="616"/>
      <c r="IB26" s="616"/>
      <c r="IC26" s="616"/>
      <c r="ID26" s="616"/>
      <c r="IE26" s="616"/>
      <c r="IF26" s="616"/>
      <c r="IG26" s="616"/>
      <c r="IH26" s="616"/>
      <c r="II26" s="616"/>
      <c r="IJ26" s="616"/>
      <c r="IK26" s="616"/>
      <c r="IL26" s="616"/>
      <c r="IM26" s="616"/>
      <c r="IN26" s="616"/>
      <c r="IO26" s="616"/>
      <c r="IP26" s="616"/>
      <c r="IQ26" s="616"/>
      <c r="IR26" s="616"/>
      <c r="IS26" s="616"/>
      <c r="IT26" s="616"/>
      <c r="IU26" s="616"/>
      <c r="IV26" s="616"/>
    </row>
    <row r="27" spans="1:256">
      <c r="A27" s="620">
        <f t="shared" si="2"/>
        <v>14</v>
      </c>
      <c r="B27" s="617" t="s">
        <v>328</v>
      </c>
      <c r="C27" s="629">
        <f t="shared" si="3"/>
        <v>0</v>
      </c>
      <c r="D27" s="629">
        <f t="shared" si="5"/>
        <v>0</v>
      </c>
      <c r="E27" s="617">
        <v>30</v>
      </c>
      <c r="F27" s="446">
        <v>93</v>
      </c>
      <c r="G27" s="630">
        <f t="shared" si="0"/>
        <v>0.25479452054794521</v>
      </c>
      <c r="H27" s="629">
        <f t="shared" si="1"/>
        <v>0</v>
      </c>
      <c r="I27" s="629">
        <f t="shared" si="4"/>
        <v>0</v>
      </c>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616"/>
      <c r="AJ27" s="616"/>
      <c r="AK27" s="616"/>
      <c r="AL27" s="616"/>
      <c r="AM27" s="616"/>
      <c r="AN27" s="616"/>
      <c r="AO27" s="616"/>
      <c r="AP27" s="616"/>
      <c r="AQ27" s="616"/>
      <c r="AR27" s="616"/>
      <c r="AS27" s="616"/>
      <c r="AT27" s="616"/>
      <c r="AU27" s="616"/>
      <c r="AV27" s="616"/>
      <c r="AW27" s="616"/>
      <c r="AX27" s="616"/>
      <c r="AY27" s="616"/>
      <c r="AZ27" s="616"/>
      <c r="BA27" s="616"/>
      <c r="BB27" s="616"/>
      <c r="BC27" s="616"/>
      <c r="BD27" s="616"/>
      <c r="BE27" s="616"/>
      <c r="BF27" s="616"/>
      <c r="BG27" s="616"/>
      <c r="BH27" s="616"/>
      <c r="BI27" s="616"/>
      <c r="BJ27" s="616"/>
      <c r="BK27" s="616"/>
      <c r="BL27" s="616"/>
      <c r="BM27" s="616"/>
      <c r="BN27" s="616"/>
      <c r="BO27" s="616"/>
      <c r="BP27" s="616"/>
      <c r="BQ27" s="616"/>
      <c r="BR27" s="616"/>
      <c r="BS27" s="616"/>
      <c r="BT27" s="616"/>
      <c r="BU27" s="616"/>
      <c r="BV27" s="616"/>
      <c r="BW27" s="616"/>
      <c r="BX27" s="616"/>
      <c r="BY27" s="616"/>
      <c r="BZ27" s="616"/>
      <c r="CA27" s="616"/>
      <c r="CB27" s="616"/>
      <c r="CC27" s="616"/>
      <c r="CD27" s="616"/>
      <c r="CE27" s="616"/>
      <c r="CF27" s="616"/>
      <c r="CG27" s="616"/>
      <c r="CH27" s="616"/>
      <c r="CI27" s="616"/>
      <c r="CJ27" s="616"/>
      <c r="CK27" s="616"/>
      <c r="CL27" s="616"/>
      <c r="CM27" s="616"/>
      <c r="CN27" s="616"/>
      <c r="CO27" s="616"/>
      <c r="CP27" s="616"/>
      <c r="CQ27" s="616"/>
      <c r="CR27" s="616"/>
      <c r="CS27" s="616"/>
      <c r="CT27" s="616"/>
      <c r="CU27" s="616"/>
      <c r="CV27" s="616"/>
      <c r="CW27" s="616"/>
      <c r="CX27" s="616"/>
      <c r="CY27" s="616"/>
      <c r="CZ27" s="616"/>
      <c r="DA27" s="616"/>
      <c r="DB27" s="616"/>
      <c r="DC27" s="616"/>
      <c r="DD27" s="616"/>
      <c r="DE27" s="616"/>
      <c r="DF27" s="616"/>
      <c r="DG27" s="616"/>
      <c r="DH27" s="616"/>
      <c r="DI27" s="616"/>
      <c r="DJ27" s="616"/>
      <c r="DK27" s="616"/>
      <c r="DL27" s="616"/>
      <c r="DM27" s="616"/>
      <c r="DN27" s="616"/>
      <c r="DO27" s="616"/>
      <c r="DP27" s="616"/>
      <c r="DQ27" s="616"/>
      <c r="DR27" s="616"/>
      <c r="DS27" s="616"/>
      <c r="DT27" s="616"/>
      <c r="DU27" s="616"/>
      <c r="DV27" s="616"/>
      <c r="DW27" s="616"/>
      <c r="DX27" s="616"/>
      <c r="DY27" s="616"/>
      <c r="DZ27" s="616"/>
      <c r="EA27" s="616"/>
      <c r="EB27" s="616"/>
      <c r="EC27" s="616"/>
      <c r="ED27" s="616"/>
      <c r="EE27" s="616"/>
      <c r="EF27" s="616"/>
      <c r="EG27" s="616"/>
      <c r="EH27" s="616"/>
      <c r="EI27" s="616"/>
      <c r="EJ27" s="616"/>
      <c r="EK27" s="616"/>
      <c r="EL27" s="616"/>
      <c r="EM27" s="616"/>
      <c r="EN27" s="616"/>
      <c r="EO27" s="616"/>
      <c r="EP27" s="616"/>
      <c r="EQ27" s="616"/>
      <c r="ER27" s="616"/>
      <c r="ES27" s="616"/>
      <c r="ET27" s="616"/>
      <c r="EU27" s="616"/>
      <c r="EV27" s="616"/>
      <c r="EW27" s="616"/>
      <c r="EX27" s="616"/>
      <c r="EY27" s="616"/>
      <c r="EZ27" s="616"/>
      <c r="FA27" s="616"/>
      <c r="FB27" s="616"/>
      <c r="FC27" s="616"/>
      <c r="FD27" s="616"/>
      <c r="FE27" s="616"/>
      <c r="FF27" s="616"/>
      <c r="FG27" s="616"/>
      <c r="FH27" s="616"/>
      <c r="FI27" s="616"/>
      <c r="FJ27" s="616"/>
      <c r="FK27" s="616"/>
      <c r="FL27" s="616"/>
      <c r="FM27" s="616"/>
      <c r="FN27" s="616"/>
      <c r="FO27" s="616"/>
      <c r="FP27" s="616"/>
      <c r="FQ27" s="616"/>
      <c r="FR27" s="616"/>
      <c r="FS27" s="616"/>
      <c r="FT27" s="616"/>
      <c r="FU27" s="616"/>
      <c r="FV27" s="616"/>
      <c r="FW27" s="616"/>
      <c r="FX27" s="616"/>
      <c r="FY27" s="616"/>
      <c r="FZ27" s="616"/>
      <c r="GA27" s="616"/>
      <c r="GB27" s="616"/>
      <c r="GC27" s="616"/>
      <c r="GD27" s="616"/>
      <c r="GE27" s="616"/>
      <c r="GF27" s="616"/>
      <c r="GG27" s="616"/>
      <c r="GH27" s="616"/>
      <c r="GI27" s="616"/>
      <c r="GJ27" s="616"/>
      <c r="GK27" s="616"/>
      <c r="GL27" s="616"/>
      <c r="GM27" s="616"/>
      <c r="GN27" s="616"/>
      <c r="GO27" s="616"/>
      <c r="GP27" s="616"/>
      <c r="GQ27" s="616"/>
      <c r="GR27" s="616"/>
      <c r="GS27" s="616"/>
      <c r="GT27" s="616"/>
      <c r="GU27" s="616"/>
      <c r="GV27" s="616"/>
      <c r="GW27" s="616"/>
      <c r="GX27" s="616"/>
      <c r="GY27" s="616"/>
      <c r="GZ27" s="616"/>
      <c r="HA27" s="616"/>
      <c r="HB27" s="616"/>
      <c r="HC27" s="616"/>
      <c r="HD27" s="616"/>
      <c r="HE27" s="616"/>
      <c r="HF27" s="616"/>
      <c r="HG27" s="616"/>
      <c r="HH27" s="616"/>
      <c r="HI27" s="616"/>
      <c r="HJ27" s="616"/>
      <c r="HK27" s="616"/>
      <c r="HL27" s="616"/>
      <c r="HM27" s="616"/>
      <c r="HN27" s="616"/>
      <c r="HO27" s="616"/>
      <c r="HP27" s="616"/>
      <c r="HQ27" s="616"/>
      <c r="HR27" s="616"/>
      <c r="HS27" s="616"/>
      <c r="HT27" s="616"/>
      <c r="HU27" s="616"/>
      <c r="HV27" s="616"/>
      <c r="HW27" s="616"/>
      <c r="HX27" s="616"/>
      <c r="HY27" s="616"/>
      <c r="HZ27" s="616"/>
      <c r="IA27" s="616"/>
      <c r="IB27" s="616"/>
      <c r="IC27" s="616"/>
      <c r="ID27" s="616"/>
      <c r="IE27" s="616"/>
      <c r="IF27" s="616"/>
      <c r="IG27" s="616"/>
      <c r="IH27" s="616"/>
      <c r="II27" s="616"/>
      <c r="IJ27" s="616"/>
      <c r="IK27" s="616"/>
      <c r="IL27" s="616"/>
      <c r="IM27" s="616"/>
      <c r="IN27" s="616"/>
      <c r="IO27" s="616"/>
      <c r="IP27" s="616"/>
      <c r="IQ27" s="616"/>
      <c r="IR27" s="616"/>
      <c r="IS27" s="616"/>
      <c r="IT27" s="616"/>
      <c r="IU27" s="616"/>
      <c r="IV27" s="616"/>
    </row>
    <row r="28" spans="1:256">
      <c r="A28" s="620">
        <f t="shared" si="2"/>
        <v>15</v>
      </c>
      <c r="B28" s="617" t="s">
        <v>515</v>
      </c>
      <c r="C28" s="629">
        <f t="shared" si="3"/>
        <v>0</v>
      </c>
      <c r="D28" s="629">
        <f t="shared" si="5"/>
        <v>0</v>
      </c>
      <c r="E28" s="617">
        <v>31</v>
      </c>
      <c r="F28" s="446">
        <v>62</v>
      </c>
      <c r="G28" s="630">
        <f t="shared" si="0"/>
        <v>0.16986301369863013</v>
      </c>
      <c r="H28" s="629">
        <f t="shared" si="1"/>
        <v>0</v>
      </c>
      <c r="I28" s="629">
        <f t="shared" si="4"/>
        <v>0</v>
      </c>
      <c r="J28" s="616"/>
      <c r="K28" s="616"/>
      <c r="L28" s="616"/>
      <c r="M28" s="616"/>
      <c r="N28" s="616"/>
      <c r="O28" s="616"/>
      <c r="P28" s="616"/>
      <c r="Q28" s="616"/>
      <c r="R28" s="616"/>
      <c r="S28" s="616"/>
      <c r="T28" s="616"/>
      <c r="U28" s="616"/>
      <c r="V28" s="616"/>
      <c r="W28" s="616"/>
      <c r="X28" s="616"/>
      <c r="Y28" s="616"/>
      <c r="Z28" s="616"/>
      <c r="AA28" s="616"/>
      <c r="AB28" s="616"/>
      <c r="AC28" s="616"/>
      <c r="AD28" s="616"/>
      <c r="AE28" s="616"/>
      <c r="AF28" s="616"/>
      <c r="AG28" s="616"/>
      <c r="AH28" s="616"/>
      <c r="AI28" s="616"/>
      <c r="AJ28" s="616"/>
      <c r="AK28" s="616"/>
      <c r="AL28" s="616"/>
      <c r="AM28" s="616"/>
      <c r="AN28" s="616"/>
      <c r="AO28" s="616"/>
      <c r="AP28" s="616"/>
      <c r="AQ28" s="616"/>
      <c r="AR28" s="616"/>
      <c r="AS28" s="616"/>
      <c r="AT28" s="616"/>
      <c r="AU28" s="616"/>
      <c r="AV28" s="616"/>
      <c r="AW28" s="616"/>
      <c r="AX28" s="616"/>
      <c r="AY28" s="616"/>
      <c r="AZ28" s="616"/>
      <c r="BA28" s="616"/>
      <c r="BB28" s="616"/>
      <c r="BC28" s="616"/>
      <c r="BD28" s="616"/>
      <c r="BE28" s="616"/>
      <c r="BF28" s="616"/>
      <c r="BG28" s="616"/>
      <c r="BH28" s="616"/>
      <c r="BI28" s="616"/>
      <c r="BJ28" s="616"/>
      <c r="BK28" s="616"/>
      <c r="BL28" s="616"/>
      <c r="BM28" s="616"/>
      <c r="BN28" s="616"/>
      <c r="BO28" s="616"/>
      <c r="BP28" s="616"/>
      <c r="BQ28" s="616"/>
      <c r="BR28" s="616"/>
      <c r="BS28" s="616"/>
      <c r="BT28" s="616"/>
      <c r="BU28" s="616"/>
      <c r="BV28" s="616"/>
      <c r="BW28" s="616"/>
      <c r="BX28" s="616"/>
      <c r="BY28" s="616"/>
      <c r="BZ28" s="616"/>
      <c r="CA28" s="616"/>
      <c r="CB28" s="616"/>
      <c r="CC28" s="616"/>
      <c r="CD28" s="616"/>
      <c r="CE28" s="616"/>
      <c r="CF28" s="616"/>
      <c r="CG28" s="616"/>
      <c r="CH28" s="616"/>
      <c r="CI28" s="616"/>
      <c r="CJ28" s="616"/>
      <c r="CK28" s="616"/>
      <c r="CL28" s="616"/>
      <c r="CM28" s="616"/>
      <c r="CN28" s="616"/>
      <c r="CO28" s="616"/>
      <c r="CP28" s="616"/>
      <c r="CQ28" s="616"/>
      <c r="CR28" s="616"/>
      <c r="CS28" s="616"/>
      <c r="CT28" s="616"/>
      <c r="CU28" s="616"/>
      <c r="CV28" s="616"/>
      <c r="CW28" s="616"/>
      <c r="CX28" s="616"/>
      <c r="CY28" s="616"/>
      <c r="CZ28" s="616"/>
      <c r="DA28" s="616"/>
      <c r="DB28" s="616"/>
      <c r="DC28" s="616"/>
      <c r="DD28" s="616"/>
      <c r="DE28" s="616"/>
      <c r="DF28" s="616"/>
      <c r="DG28" s="616"/>
      <c r="DH28" s="616"/>
      <c r="DI28" s="616"/>
      <c r="DJ28" s="616"/>
      <c r="DK28" s="616"/>
      <c r="DL28" s="616"/>
      <c r="DM28" s="616"/>
      <c r="DN28" s="616"/>
      <c r="DO28" s="616"/>
      <c r="DP28" s="616"/>
      <c r="DQ28" s="616"/>
      <c r="DR28" s="616"/>
      <c r="DS28" s="616"/>
      <c r="DT28" s="616"/>
      <c r="DU28" s="616"/>
      <c r="DV28" s="616"/>
      <c r="DW28" s="616"/>
      <c r="DX28" s="616"/>
      <c r="DY28" s="616"/>
      <c r="DZ28" s="616"/>
      <c r="EA28" s="616"/>
      <c r="EB28" s="616"/>
      <c r="EC28" s="616"/>
      <c r="ED28" s="616"/>
      <c r="EE28" s="616"/>
      <c r="EF28" s="616"/>
      <c r="EG28" s="616"/>
      <c r="EH28" s="616"/>
      <c r="EI28" s="616"/>
      <c r="EJ28" s="616"/>
      <c r="EK28" s="616"/>
      <c r="EL28" s="616"/>
      <c r="EM28" s="616"/>
      <c r="EN28" s="616"/>
      <c r="EO28" s="616"/>
      <c r="EP28" s="616"/>
      <c r="EQ28" s="616"/>
      <c r="ER28" s="616"/>
      <c r="ES28" s="616"/>
      <c r="ET28" s="616"/>
      <c r="EU28" s="616"/>
      <c r="EV28" s="616"/>
      <c r="EW28" s="616"/>
      <c r="EX28" s="616"/>
      <c r="EY28" s="616"/>
      <c r="EZ28" s="616"/>
      <c r="FA28" s="616"/>
      <c r="FB28" s="616"/>
      <c r="FC28" s="616"/>
      <c r="FD28" s="616"/>
      <c r="FE28" s="616"/>
      <c r="FF28" s="616"/>
      <c r="FG28" s="616"/>
      <c r="FH28" s="616"/>
      <c r="FI28" s="616"/>
      <c r="FJ28" s="616"/>
      <c r="FK28" s="616"/>
      <c r="FL28" s="616"/>
      <c r="FM28" s="616"/>
      <c r="FN28" s="616"/>
      <c r="FO28" s="616"/>
      <c r="FP28" s="616"/>
      <c r="FQ28" s="616"/>
      <c r="FR28" s="616"/>
      <c r="FS28" s="616"/>
      <c r="FT28" s="616"/>
      <c r="FU28" s="616"/>
      <c r="FV28" s="616"/>
      <c r="FW28" s="616"/>
      <c r="FX28" s="616"/>
      <c r="FY28" s="616"/>
      <c r="FZ28" s="616"/>
      <c r="GA28" s="616"/>
      <c r="GB28" s="616"/>
      <c r="GC28" s="616"/>
      <c r="GD28" s="616"/>
      <c r="GE28" s="616"/>
      <c r="GF28" s="616"/>
      <c r="GG28" s="616"/>
      <c r="GH28" s="616"/>
      <c r="GI28" s="616"/>
      <c r="GJ28" s="616"/>
      <c r="GK28" s="616"/>
      <c r="GL28" s="616"/>
      <c r="GM28" s="616"/>
      <c r="GN28" s="616"/>
      <c r="GO28" s="616"/>
      <c r="GP28" s="616"/>
      <c r="GQ28" s="616"/>
      <c r="GR28" s="616"/>
      <c r="GS28" s="616"/>
      <c r="GT28" s="616"/>
      <c r="GU28" s="616"/>
      <c r="GV28" s="616"/>
      <c r="GW28" s="616"/>
      <c r="GX28" s="616"/>
      <c r="GY28" s="616"/>
      <c r="GZ28" s="616"/>
      <c r="HA28" s="616"/>
      <c r="HB28" s="616"/>
      <c r="HC28" s="616"/>
      <c r="HD28" s="616"/>
      <c r="HE28" s="616"/>
      <c r="HF28" s="616"/>
      <c r="HG28" s="616"/>
      <c r="HH28" s="616"/>
      <c r="HI28" s="616"/>
      <c r="HJ28" s="616"/>
      <c r="HK28" s="616"/>
      <c r="HL28" s="616"/>
      <c r="HM28" s="616"/>
      <c r="HN28" s="616"/>
      <c r="HO28" s="616"/>
      <c r="HP28" s="616"/>
      <c r="HQ28" s="616"/>
      <c r="HR28" s="616"/>
      <c r="HS28" s="616"/>
      <c r="HT28" s="616"/>
      <c r="HU28" s="616"/>
      <c r="HV28" s="616"/>
      <c r="HW28" s="616"/>
      <c r="HX28" s="616"/>
      <c r="HY28" s="616"/>
      <c r="HZ28" s="616"/>
      <c r="IA28" s="616"/>
      <c r="IB28" s="616"/>
      <c r="IC28" s="616"/>
      <c r="ID28" s="616"/>
      <c r="IE28" s="616"/>
      <c r="IF28" s="616"/>
      <c r="IG28" s="616"/>
      <c r="IH28" s="616"/>
      <c r="II28" s="616"/>
      <c r="IJ28" s="616"/>
      <c r="IK28" s="616"/>
      <c r="IL28" s="616"/>
      <c r="IM28" s="616"/>
      <c r="IN28" s="616"/>
      <c r="IO28" s="616"/>
      <c r="IP28" s="616"/>
      <c r="IQ28" s="616"/>
      <c r="IR28" s="616"/>
      <c r="IS28" s="616"/>
      <c r="IT28" s="616"/>
      <c r="IU28" s="616"/>
      <c r="IV28" s="616"/>
    </row>
    <row r="29" spans="1:256">
      <c r="A29" s="620">
        <f t="shared" si="2"/>
        <v>16</v>
      </c>
      <c r="B29" s="617" t="s">
        <v>516</v>
      </c>
      <c r="C29" s="629">
        <f t="shared" si="3"/>
        <v>0</v>
      </c>
      <c r="D29" s="629">
        <f t="shared" si="5"/>
        <v>0</v>
      </c>
      <c r="E29" s="617">
        <v>30</v>
      </c>
      <c r="F29" s="446">
        <v>32</v>
      </c>
      <c r="G29" s="630">
        <f t="shared" si="0"/>
        <v>8.7671232876712329E-2</v>
      </c>
      <c r="H29" s="629">
        <f t="shared" si="1"/>
        <v>0</v>
      </c>
      <c r="I29" s="629">
        <f t="shared" si="4"/>
        <v>0</v>
      </c>
      <c r="J29" s="616"/>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6"/>
      <c r="AH29" s="616"/>
      <c r="AI29" s="616"/>
      <c r="AJ29" s="616"/>
      <c r="AK29" s="616"/>
      <c r="AL29" s="616"/>
      <c r="AM29" s="616"/>
      <c r="AN29" s="616"/>
      <c r="AO29" s="616"/>
      <c r="AP29" s="616"/>
      <c r="AQ29" s="616"/>
      <c r="AR29" s="616"/>
      <c r="AS29" s="616"/>
      <c r="AT29" s="616"/>
      <c r="AU29" s="616"/>
      <c r="AV29" s="616"/>
      <c r="AW29" s="616"/>
      <c r="AX29" s="616"/>
      <c r="AY29" s="616"/>
      <c r="AZ29" s="616"/>
      <c r="BA29" s="616"/>
      <c r="BB29" s="616"/>
      <c r="BC29" s="616"/>
      <c r="BD29" s="616"/>
      <c r="BE29" s="616"/>
      <c r="BF29" s="616"/>
      <c r="BG29" s="616"/>
      <c r="BH29" s="616"/>
      <c r="BI29" s="616"/>
      <c r="BJ29" s="616"/>
      <c r="BK29" s="616"/>
      <c r="BL29" s="616"/>
      <c r="BM29" s="616"/>
      <c r="BN29" s="616"/>
      <c r="BO29" s="616"/>
      <c r="BP29" s="616"/>
      <c r="BQ29" s="616"/>
      <c r="BR29" s="616"/>
      <c r="BS29" s="616"/>
      <c r="BT29" s="616"/>
      <c r="BU29" s="616"/>
      <c r="BV29" s="616"/>
      <c r="BW29" s="616"/>
      <c r="BX29" s="616"/>
      <c r="BY29" s="616"/>
      <c r="BZ29" s="616"/>
      <c r="CA29" s="616"/>
      <c r="CB29" s="616"/>
      <c r="CC29" s="616"/>
      <c r="CD29" s="616"/>
      <c r="CE29" s="616"/>
      <c r="CF29" s="616"/>
      <c r="CG29" s="616"/>
      <c r="CH29" s="616"/>
      <c r="CI29" s="616"/>
      <c r="CJ29" s="616"/>
      <c r="CK29" s="616"/>
      <c r="CL29" s="616"/>
      <c r="CM29" s="616"/>
      <c r="CN29" s="616"/>
      <c r="CO29" s="616"/>
      <c r="CP29" s="616"/>
      <c r="CQ29" s="616"/>
      <c r="CR29" s="616"/>
      <c r="CS29" s="616"/>
      <c r="CT29" s="616"/>
      <c r="CU29" s="616"/>
      <c r="CV29" s="616"/>
      <c r="CW29" s="616"/>
      <c r="CX29" s="616"/>
      <c r="CY29" s="616"/>
      <c r="CZ29" s="616"/>
      <c r="DA29" s="616"/>
      <c r="DB29" s="616"/>
      <c r="DC29" s="616"/>
      <c r="DD29" s="616"/>
      <c r="DE29" s="616"/>
      <c r="DF29" s="616"/>
      <c r="DG29" s="616"/>
      <c r="DH29" s="616"/>
      <c r="DI29" s="616"/>
      <c r="DJ29" s="616"/>
      <c r="DK29" s="616"/>
      <c r="DL29" s="616"/>
      <c r="DM29" s="616"/>
      <c r="DN29" s="616"/>
      <c r="DO29" s="616"/>
      <c r="DP29" s="616"/>
      <c r="DQ29" s="616"/>
      <c r="DR29" s="616"/>
      <c r="DS29" s="616"/>
      <c r="DT29" s="616"/>
      <c r="DU29" s="616"/>
      <c r="DV29" s="616"/>
      <c r="DW29" s="616"/>
      <c r="DX29" s="616"/>
      <c r="DY29" s="616"/>
      <c r="DZ29" s="616"/>
      <c r="EA29" s="616"/>
      <c r="EB29" s="616"/>
      <c r="EC29" s="616"/>
      <c r="ED29" s="616"/>
      <c r="EE29" s="616"/>
      <c r="EF29" s="616"/>
      <c r="EG29" s="616"/>
      <c r="EH29" s="616"/>
      <c r="EI29" s="616"/>
      <c r="EJ29" s="616"/>
      <c r="EK29" s="616"/>
      <c r="EL29" s="616"/>
      <c r="EM29" s="616"/>
      <c r="EN29" s="616"/>
      <c r="EO29" s="616"/>
      <c r="EP29" s="616"/>
      <c r="EQ29" s="616"/>
      <c r="ER29" s="616"/>
      <c r="ES29" s="616"/>
      <c r="ET29" s="616"/>
      <c r="EU29" s="616"/>
      <c r="EV29" s="616"/>
      <c r="EW29" s="616"/>
      <c r="EX29" s="616"/>
      <c r="EY29" s="616"/>
      <c r="EZ29" s="616"/>
      <c r="FA29" s="616"/>
      <c r="FB29" s="616"/>
      <c r="FC29" s="616"/>
      <c r="FD29" s="616"/>
      <c r="FE29" s="616"/>
      <c r="FF29" s="616"/>
      <c r="FG29" s="616"/>
      <c r="FH29" s="616"/>
      <c r="FI29" s="616"/>
      <c r="FJ29" s="616"/>
      <c r="FK29" s="616"/>
      <c r="FL29" s="616"/>
      <c r="FM29" s="616"/>
      <c r="FN29" s="616"/>
      <c r="FO29" s="616"/>
      <c r="FP29" s="616"/>
      <c r="FQ29" s="616"/>
      <c r="FR29" s="616"/>
      <c r="FS29" s="616"/>
      <c r="FT29" s="616"/>
      <c r="FU29" s="616"/>
      <c r="FV29" s="616"/>
      <c r="FW29" s="616"/>
      <c r="FX29" s="616"/>
      <c r="FY29" s="616"/>
      <c r="FZ29" s="616"/>
      <c r="GA29" s="616"/>
      <c r="GB29" s="616"/>
      <c r="GC29" s="616"/>
      <c r="GD29" s="616"/>
      <c r="GE29" s="616"/>
      <c r="GF29" s="616"/>
      <c r="GG29" s="616"/>
      <c r="GH29" s="616"/>
      <c r="GI29" s="616"/>
      <c r="GJ29" s="616"/>
      <c r="GK29" s="616"/>
      <c r="GL29" s="616"/>
      <c r="GM29" s="616"/>
      <c r="GN29" s="616"/>
      <c r="GO29" s="616"/>
      <c r="GP29" s="616"/>
      <c r="GQ29" s="616"/>
      <c r="GR29" s="616"/>
      <c r="GS29" s="616"/>
      <c r="GT29" s="616"/>
      <c r="GU29" s="616"/>
      <c r="GV29" s="616"/>
      <c r="GW29" s="616"/>
      <c r="GX29" s="616"/>
      <c r="GY29" s="616"/>
      <c r="GZ29" s="616"/>
      <c r="HA29" s="616"/>
      <c r="HB29" s="616"/>
      <c r="HC29" s="616"/>
      <c r="HD29" s="616"/>
      <c r="HE29" s="616"/>
      <c r="HF29" s="616"/>
      <c r="HG29" s="616"/>
      <c r="HH29" s="616"/>
      <c r="HI29" s="616"/>
      <c r="HJ29" s="616"/>
      <c r="HK29" s="616"/>
      <c r="HL29" s="616"/>
      <c r="HM29" s="616"/>
      <c r="HN29" s="616"/>
      <c r="HO29" s="616"/>
      <c r="HP29" s="616"/>
      <c r="HQ29" s="616"/>
      <c r="HR29" s="616"/>
      <c r="HS29" s="616"/>
      <c r="HT29" s="616"/>
      <c r="HU29" s="616"/>
      <c r="HV29" s="616"/>
      <c r="HW29" s="616"/>
      <c r="HX29" s="616"/>
      <c r="HY29" s="616"/>
      <c r="HZ29" s="616"/>
      <c r="IA29" s="616"/>
      <c r="IB29" s="616"/>
      <c r="IC29" s="616"/>
      <c r="ID29" s="616"/>
      <c r="IE29" s="616"/>
      <c r="IF29" s="616"/>
      <c r="IG29" s="616"/>
      <c r="IH29" s="616"/>
      <c r="II29" s="616"/>
      <c r="IJ29" s="616"/>
      <c r="IK29" s="616"/>
      <c r="IL29" s="616"/>
      <c r="IM29" s="616"/>
      <c r="IN29" s="616"/>
      <c r="IO29" s="616"/>
      <c r="IP29" s="616"/>
      <c r="IQ29" s="616"/>
      <c r="IR29" s="616"/>
      <c r="IS29" s="616"/>
      <c r="IT29" s="616"/>
      <c r="IU29" s="616"/>
      <c r="IV29" s="616"/>
    </row>
    <row r="30" spans="1:256">
      <c r="A30" s="620">
        <f t="shared" si="2"/>
        <v>17</v>
      </c>
      <c r="B30" s="617" t="s">
        <v>327</v>
      </c>
      <c r="C30" s="629">
        <f t="shared" si="3"/>
        <v>0</v>
      </c>
      <c r="D30" s="629">
        <f t="shared" si="5"/>
        <v>0</v>
      </c>
      <c r="E30" s="617">
        <v>31</v>
      </c>
      <c r="F30" s="446">
        <f>F29-E30</f>
        <v>1</v>
      </c>
      <c r="G30" s="630">
        <f t="shared" si="0"/>
        <v>2.7397260273972603E-3</v>
      </c>
      <c r="H30" s="629">
        <f t="shared" si="1"/>
        <v>0</v>
      </c>
      <c r="I30" s="629">
        <f t="shared" si="4"/>
        <v>0</v>
      </c>
      <c r="J30" s="616"/>
      <c r="K30" s="616"/>
      <c r="L30" s="616"/>
      <c r="M30" s="616"/>
      <c r="N30" s="616"/>
      <c r="O30" s="616"/>
      <c r="P30" s="616"/>
      <c r="Q30" s="616"/>
      <c r="R30" s="616"/>
      <c r="S30" s="616"/>
      <c r="T30" s="616"/>
      <c r="U30" s="616"/>
      <c r="V30" s="616"/>
      <c r="W30" s="616"/>
      <c r="X30" s="616"/>
      <c r="Y30" s="616"/>
      <c r="Z30" s="616"/>
      <c r="AA30" s="616"/>
      <c r="AB30" s="616"/>
      <c r="AC30" s="616"/>
      <c r="AD30" s="616"/>
      <c r="AE30" s="616"/>
      <c r="AF30" s="616"/>
      <c r="AG30" s="616"/>
      <c r="AH30" s="616"/>
      <c r="AI30" s="616"/>
      <c r="AJ30" s="616"/>
      <c r="AK30" s="616"/>
      <c r="AL30" s="616"/>
      <c r="AM30" s="616"/>
      <c r="AN30" s="616"/>
      <c r="AO30" s="616"/>
      <c r="AP30" s="616"/>
      <c r="AQ30" s="616"/>
      <c r="AR30" s="616"/>
      <c r="AS30" s="616"/>
      <c r="AT30" s="616"/>
      <c r="AU30" s="616"/>
      <c r="AV30" s="616"/>
      <c r="AW30" s="616"/>
      <c r="AX30" s="616"/>
      <c r="AY30" s="616"/>
      <c r="AZ30" s="616"/>
      <c r="BA30" s="616"/>
      <c r="BB30" s="616"/>
      <c r="BC30" s="616"/>
      <c r="BD30" s="616"/>
      <c r="BE30" s="616"/>
      <c r="BF30" s="616"/>
      <c r="BG30" s="616"/>
      <c r="BH30" s="616"/>
      <c r="BI30" s="616"/>
      <c r="BJ30" s="616"/>
      <c r="BK30" s="616"/>
      <c r="BL30" s="616"/>
      <c r="BM30" s="616"/>
      <c r="BN30" s="616"/>
      <c r="BO30" s="616"/>
      <c r="BP30" s="616"/>
      <c r="BQ30" s="616"/>
      <c r="BR30" s="616"/>
      <c r="BS30" s="616"/>
      <c r="BT30" s="616"/>
      <c r="BU30" s="616"/>
      <c r="BV30" s="616"/>
      <c r="BW30" s="616"/>
      <c r="BX30" s="616"/>
      <c r="BY30" s="616"/>
      <c r="BZ30" s="616"/>
      <c r="CA30" s="616"/>
      <c r="CB30" s="616"/>
      <c r="CC30" s="616"/>
      <c r="CD30" s="616"/>
      <c r="CE30" s="616"/>
      <c r="CF30" s="616"/>
      <c r="CG30" s="616"/>
      <c r="CH30" s="616"/>
      <c r="CI30" s="616"/>
      <c r="CJ30" s="616"/>
      <c r="CK30" s="616"/>
      <c r="CL30" s="616"/>
      <c r="CM30" s="616"/>
      <c r="CN30" s="616"/>
      <c r="CO30" s="616"/>
      <c r="CP30" s="616"/>
      <c r="CQ30" s="616"/>
      <c r="CR30" s="616"/>
      <c r="CS30" s="616"/>
      <c r="CT30" s="616"/>
      <c r="CU30" s="616"/>
      <c r="CV30" s="616"/>
      <c r="CW30" s="616"/>
      <c r="CX30" s="616"/>
      <c r="CY30" s="616"/>
      <c r="CZ30" s="616"/>
      <c r="DA30" s="616"/>
      <c r="DB30" s="616"/>
      <c r="DC30" s="616"/>
      <c r="DD30" s="616"/>
      <c r="DE30" s="616"/>
      <c r="DF30" s="616"/>
      <c r="DG30" s="616"/>
      <c r="DH30" s="616"/>
      <c r="DI30" s="616"/>
      <c r="DJ30" s="616"/>
      <c r="DK30" s="616"/>
      <c r="DL30" s="616"/>
      <c r="DM30" s="616"/>
      <c r="DN30" s="616"/>
      <c r="DO30" s="616"/>
      <c r="DP30" s="616"/>
      <c r="DQ30" s="616"/>
      <c r="DR30" s="616"/>
      <c r="DS30" s="616"/>
      <c r="DT30" s="616"/>
      <c r="DU30" s="616"/>
      <c r="DV30" s="616"/>
      <c r="DW30" s="616"/>
      <c r="DX30" s="616"/>
      <c r="DY30" s="616"/>
      <c r="DZ30" s="616"/>
      <c r="EA30" s="616"/>
      <c r="EB30" s="616"/>
      <c r="EC30" s="616"/>
      <c r="ED30" s="616"/>
      <c r="EE30" s="616"/>
      <c r="EF30" s="616"/>
      <c r="EG30" s="616"/>
      <c r="EH30" s="616"/>
      <c r="EI30" s="616"/>
      <c r="EJ30" s="616"/>
      <c r="EK30" s="616"/>
      <c r="EL30" s="616"/>
      <c r="EM30" s="616"/>
      <c r="EN30" s="616"/>
      <c r="EO30" s="616"/>
      <c r="EP30" s="616"/>
      <c r="EQ30" s="616"/>
      <c r="ER30" s="616"/>
      <c r="ES30" s="616"/>
      <c r="ET30" s="616"/>
      <c r="EU30" s="616"/>
      <c r="EV30" s="616"/>
      <c r="EW30" s="616"/>
      <c r="EX30" s="616"/>
      <c r="EY30" s="616"/>
      <c r="EZ30" s="616"/>
      <c r="FA30" s="616"/>
      <c r="FB30" s="616"/>
      <c r="FC30" s="616"/>
      <c r="FD30" s="616"/>
      <c r="FE30" s="616"/>
      <c r="FF30" s="616"/>
      <c r="FG30" s="616"/>
      <c r="FH30" s="616"/>
      <c r="FI30" s="616"/>
      <c r="FJ30" s="616"/>
      <c r="FK30" s="616"/>
      <c r="FL30" s="616"/>
      <c r="FM30" s="616"/>
      <c r="FN30" s="616"/>
      <c r="FO30" s="616"/>
      <c r="FP30" s="616"/>
      <c r="FQ30" s="616"/>
      <c r="FR30" s="616"/>
      <c r="FS30" s="616"/>
      <c r="FT30" s="616"/>
      <c r="FU30" s="616"/>
      <c r="FV30" s="616"/>
      <c r="FW30" s="616"/>
      <c r="FX30" s="616"/>
      <c r="FY30" s="616"/>
      <c r="FZ30" s="616"/>
      <c r="GA30" s="616"/>
      <c r="GB30" s="616"/>
      <c r="GC30" s="616"/>
      <c r="GD30" s="616"/>
      <c r="GE30" s="616"/>
      <c r="GF30" s="616"/>
      <c r="GG30" s="616"/>
      <c r="GH30" s="616"/>
      <c r="GI30" s="616"/>
      <c r="GJ30" s="616"/>
      <c r="GK30" s="616"/>
      <c r="GL30" s="616"/>
      <c r="GM30" s="616"/>
      <c r="GN30" s="616"/>
      <c r="GO30" s="616"/>
      <c r="GP30" s="616"/>
      <c r="GQ30" s="616"/>
      <c r="GR30" s="616"/>
      <c r="GS30" s="616"/>
      <c r="GT30" s="616"/>
      <c r="GU30" s="616"/>
      <c r="GV30" s="616"/>
      <c r="GW30" s="616"/>
      <c r="GX30" s="616"/>
      <c r="GY30" s="616"/>
      <c r="GZ30" s="616"/>
      <c r="HA30" s="616"/>
      <c r="HB30" s="616"/>
      <c r="HC30" s="616"/>
      <c r="HD30" s="616"/>
      <c r="HE30" s="616"/>
      <c r="HF30" s="616"/>
      <c r="HG30" s="616"/>
      <c r="HH30" s="616"/>
      <c r="HI30" s="616"/>
      <c r="HJ30" s="616"/>
      <c r="HK30" s="616"/>
      <c r="HL30" s="616"/>
      <c r="HM30" s="616"/>
      <c r="HN30" s="616"/>
      <c r="HO30" s="616"/>
      <c r="HP30" s="616"/>
      <c r="HQ30" s="616"/>
      <c r="HR30" s="616"/>
      <c r="HS30" s="616"/>
      <c r="HT30" s="616"/>
      <c r="HU30" s="616"/>
      <c r="HV30" s="616"/>
      <c r="HW30" s="616"/>
      <c r="HX30" s="616"/>
      <c r="HY30" s="616"/>
      <c r="HZ30" s="616"/>
      <c r="IA30" s="616"/>
      <c r="IB30" s="616"/>
      <c r="IC30" s="616"/>
      <c r="ID30" s="616"/>
      <c r="IE30" s="616"/>
      <c r="IF30" s="616"/>
      <c r="IG30" s="616"/>
      <c r="IH30" s="616"/>
      <c r="II30" s="616"/>
      <c r="IJ30" s="616"/>
      <c r="IK30" s="616"/>
      <c r="IL30" s="616"/>
      <c r="IM30" s="616"/>
      <c r="IN30" s="616"/>
      <c r="IO30" s="616"/>
      <c r="IP30" s="616"/>
      <c r="IQ30" s="616"/>
      <c r="IR30" s="616"/>
      <c r="IS30" s="616"/>
      <c r="IT30" s="616"/>
      <c r="IU30" s="616"/>
      <c r="IV30" s="616"/>
    </row>
    <row r="31" spans="1:256">
      <c r="A31" s="620"/>
      <c r="B31" s="617"/>
      <c r="C31" s="631"/>
      <c r="D31" s="631"/>
      <c r="E31" s="617"/>
      <c r="F31" s="617"/>
      <c r="G31" s="617"/>
      <c r="H31" s="631"/>
      <c r="I31" s="631"/>
      <c r="J31" s="616"/>
      <c r="K31" s="616"/>
      <c r="L31" s="616"/>
      <c r="M31" s="616"/>
      <c r="N31" s="616"/>
      <c r="O31" s="616"/>
      <c r="P31" s="616"/>
      <c r="Q31" s="616"/>
      <c r="R31" s="616"/>
      <c r="S31" s="616"/>
      <c r="T31" s="616"/>
      <c r="U31" s="616"/>
      <c r="V31" s="616"/>
      <c r="W31" s="616"/>
      <c r="X31" s="616"/>
      <c r="Y31" s="616"/>
      <c r="Z31" s="616"/>
      <c r="AA31" s="616"/>
      <c r="AB31" s="616"/>
      <c r="AC31" s="616"/>
      <c r="AD31" s="616"/>
      <c r="AE31" s="616"/>
      <c r="AF31" s="616"/>
      <c r="AG31" s="616"/>
      <c r="AH31" s="616"/>
      <c r="AI31" s="616"/>
      <c r="AJ31" s="616"/>
      <c r="AK31" s="616"/>
      <c r="AL31" s="616"/>
      <c r="AM31" s="616"/>
      <c r="AN31" s="616"/>
      <c r="AO31" s="616"/>
      <c r="AP31" s="616"/>
      <c r="AQ31" s="616"/>
      <c r="AR31" s="616"/>
      <c r="AS31" s="616"/>
      <c r="AT31" s="616"/>
      <c r="AU31" s="616"/>
      <c r="AV31" s="616"/>
      <c r="AW31" s="616"/>
      <c r="AX31" s="616"/>
      <c r="AY31" s="616"/>
      <c r="AZ31" s="616"/>
      <c r="BA31" s="616"/>
      <c r="BB31" s="616"/>
      <c r="BC31" s="616"/>
      <c r="BD31" s="616"/>
      <c r="BE31" s="616"/>
      <c r="BF31" s="616"/>
      <c r="BG31" s="616"/>
      <c r="BH31" s="616"/>
      <c r="BI31" s="616"/>
      <c r="BJ31" s="616"/>
      <c r="BK31" s="616"/>
      <c r="BL31" s="616"/>
      <c r="BM31" s="616"/>
      <c r="BN31" s="616"/>
      <c r="BO31" s="616"/>
      <c r="BP31" s="616"/>
      <c r="BQ31" s="616"/>
      <c r="BR31" s="616"/>
      <c r="BS31" s="616"/>
      <c r="BT31" s="616"/>
      <c r="BU31" s="616"/>
      <c r="BV31" s="616"/>
      <c r="BW31" s="616"/>
      <c r="BX31" s="616"/>
      <c r="BY31" s="616"/>
      <c r="BZ31" s="616"/>
      <c r="CA31" s="616"/>
      <c r="CB31" s="616"/>
      <c r="CC31" s="616"/>
      <c r="CD31" s="616"/>
      <c r="CE31" s="616"/>
      <c r="CF31" s="616"/>
      <c r="CG31" s="616"/>
      <c r="CH31" s="616"/>
      <c r="CI31" s="616"/>
      <c r="CJ31" s="616"/>
      <c r="CK31" s="616"/>
      <c r="CL31" s="616"/>
      <c r="CM31" s="616"/>
      <c r="CN31" s="616"/>
      <c r="CO31" s="616"/>
      <c r="CP31" s="616"/>
      <c r="CQ31" s="616"/>
      <c r="CR31" s="616"/>
      <c r="CS31" s="616"/>
      <c r="CT31" s="616"/>
      <c r="CU31" s="616"/>
      <c r="CV31" s="616"/>
      <c r="CW31" s="616"/>
      <c r="CX31" s="616"/>
      <c r="CY31" s="616"/>
      <c r="CZ31" s="616"/>
      <c r="DA31" s="616"/>
      <c r="DB31" s="616"/>
      <c r="DC31" s="616"/>
      <c r="DD31" s="616"/>
      <c r="DE31" s="616"/>
      <c r="DF31" s="616"/>
      <c r="DG31" s="616"/>
      <c r="DH31" s="616"/>
      <c r="DI31" s="616"/>
      <c r="DJ31" s="616"/>
      <c r="DK31" s="616"/>
      <c r="DL31" s="616"/>
      <c r="DM31" s="616"/>
      <c r="DN31" s="616"/>
      <c r="DO31" s="616"/>
      <c r="DP31" s="616"/>
      <c r="DQ31" s="616"/>
      <c r="DR31" s="616"/>
      <c r="DS31" s="616"/>
      <c r="DT31" s="616"/>
      <c r="DU31" s="616"/>
      <c r="DV31" s="616"/>
      <c r="DW31" s="616"/>
      <c r="DX31" s="616"/>
      <c r="DY31" s="616"/>
      <c r="DZ31" s="616"/>
      <c r="EA31" s="616"/>
      <c r="EB31" s="616"/>
      <c r="EC31" s="616"/>
      <c r="ED31" s="616"/>
      <c r="EE31" s="616"/>
      <c r="EF31" s="616"/>
      <c r="EG31" s="616"/>
      <c r="EH31" s="616"/>
      <c r="EI31" s="616"/>
      <c r="EJ31" s="616"/>
      <c r="EK31" s="616"/>
      <c r="EL31" s="616"/>
      <c r="EM31" s="616"/>
      <c r="EN31" s="616"/>
      <c r="EO31" s="616"/>
      <c r="EP31" s="616"/>
      <c r="EQ31" s="616"/>
      <c r="ER31" s="616"/>
      <c r="ES31" s="616"/>
      <c r="ET31" s="616"/>
      <c r="EU31" s="616"/>
      <c r="EV31" s="616"/>
      <c r="EW31" s="616"/>
      <c r="EX31" s="616"/>
      <c r="EY31" s="616"/>
      <c r="EZ31" s="616"/>
      <c r="FA31" s="616"/>
      <c r="FB31" s="616"/>
      <c r="FC31" s="616"/>
      <c r="FD31" s="616"/>
      <c r="FE31" s="616"/>
      <c r="FF31" s="616"/>
      <c r="FG31" s="616"/>
      <c r="FH31" s="616"/>
      <c r="FI31" s="616"/>
      <c r="FJ31" s="616"/>
      <c r="FK31" s="616"/>
      <c r="FL31" s="616"/>
      <c r="FM31" s="616"/>
      <c r="FN31" s="616"/>
      <c r="FO31" s="616"/>
      <c r="FP31" s="616"/>
      <c r="FQ31" s="616"/>
      <c r="FR31" s="616"/>
      <c r="FS31" s="616"/>
      <c r="FT31" s="616"/>
      <c r="FU31" s="616"/>
      <c r="FV31" s="616"/>
      <c r="FW31" s="616"/>
      <c r="FX31" s="616"/>
      <c r="FY31" s="616"/>
      <c r="FZ31" s="616"/>
      <c r="GA31" s="616"/>
      <c r="GB31" s="616"/>
      <c r="GC31" s="616"/>
      <c r="GD31" s="616"/>
      <c r="GE31" s="616"/>
      <c r="GF31" s="616"/>
      <c r="GG31" s="616"/>
      <c r="GH31" s="616"/>
      <c r="GI31" s="616"/>
      <c r="GJ31" s="616"/>
      <c r="GK31" s="616"/>
      <c r="GL31" s="616"/>
      <c r="GM31" s="616"/>
      <c r="GN31" s="616"/>
      <c r="GO31" s="616"/>
      <c r="GP31" s="616"/>
      <c r="GQ31" s="616"/>
      <c r="GR31" s="616"/>
      <c r="GS31" s="616"/>
      <c r="GT31" s="616"/>
      <c r="GU31" s="616"/>
      <c r="GV31" s="616"/>
      <c r="GW31" s="616"/>
      <c r="GX31" s="616"/>
      <c r="GY31" s="616"/>
      <c r="GZ31" s="616"/>
      <c r="HA31" s="616"/>
      <c r="HB31" s="616"/>
      <c r="HC31" s="616"/>
      <c r="HD31" s="616"/>
      <c r="HE31" s="616"/>
      <c r="HF31" s="616"/>
      <c r="HG31" s="616"/>
      <c r="HH31" s="616"/>
      <c r="HI31" s="616"/>
      <c r="HJ31" s="616"/>
      <c r="HK31" s="616"/>
      <c r="HL31" s="616"/>
      <c r="HM31" s="616"/>
      <c r="HN31" s="616"/>
      <c r="HO31" s="616"/>
      <c r="HP31" s="616"/>
      <c r="HQ31" s="616"/>
      <c r="HR31" s="616"/>
      <c r="HS31" s="616"/>
      <c r="HT31" s="616"/>
      <c r="HU31" s="616"/>
      <c r="HV31" s="616"/>
      <c r="HW31" s="616"/>
      <c r="HX31" s="616"/>
      <c r="HY31" s="616"/>
      <c r="HZ31" s="616"/>
      <c r="IA31" s="616"/>
      <c r="IB31" s="616"/>
      <c r="IC31" s="616"/>
      <c r="ID31" s="616"/>
      <c r="IE31" s="616"/>
      <c r="IF31" s="616"/>
      <c r="IG31" s="616"/>
      <c r="IH31" s="616"/>
      <c r="II31" s="616"/>
      <c r="IJ31" s="616"/>
      <c r="IK31" s="616"/>
      <c r="IL31" s="616"/>
      <c r="IM31" s="616"/>
      <c r="IN31" s="616"/>
      <c r="IO31" s="616"/>
      <c r="IP31" s="616"/>
      <c r="IQ31" s="616"/>
      <c r="IR31" s="616"/>
      <c r="IS31" s="616"/>
      <c r="IT31" s="616"/>
      <c r="IU31" s="616"/>
      <c r="IV31" s="616"/>
    </row>
    <row r="32" spans="1:256">
      <c r="A32" s="620">
        <f>+A30+1</f>
        <v>18</v>
      </c>
      <c r="B32" s="617" t="s">
        <v>517</v>
      </c>
      <c r="C32" s="631"/>
      <c r="D32" s="629">
        <f>+D30</f>
        <v>0</v>
      </c>
      <c r="E32" s="617"/>
      <c r="F32" s="617"/>
      <c r="G32" s="617"/>
      <c r="H32" s="631"/>
      <c r="I32" s="629">
        <f>+I30</f>
        <v>0</v>
      </c>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616"/>
      <c r="AK32" s="616"/>
      <c r="AL32" s="616"/>
      <c r="AM32" s="616"/>
      <c r="AN32" s="616"/>
      <c r="AO32" s="616"/>
      <c r="AP32" s="616"/>
      <c r="AQ32" s="616"/>
      <c r="AR32" s="616"/>
      <c r="AS32" s="616"/>
      <c r="AT32" s="616"/>
      <c r="AU32" s="616"/>
      <c r="AV32" s="616"/>
      <c r="AW32" s="616"/>
      <c r="AX32" s="616"/>
      <c r="AY32" s="616"/>
      <c r="AZ32" s="616"/>
      <c r="BA32" s="616"/>
      <c r="BB32" s="616"/>
      <c r="BC32" s="616"/>
      <c r="BD32" s="616"/>
      <c r="BE32" s="616"/>
      <c r="BF32" s="616"/>
      <c r="BG32" s="616"/>
      <c r="BH32" s="616"/>
      <c r="BI32" s="616"/>
      <c r="BJ32" s="616"/>
      <c r="BK32" s="616"/>
      <c r="BL32" s="616"/>
      <c r="BM32" s="616"/>
      <c r="BN32" s="616"/>
      <c r="BO32" s="616"/>
      <c r="BP32" s="616"/>
      <c r="BQ32" s="616"/>
      <c r="BR32" s="616"/>
      <c r="BS32" s="616"/>
      <c r="BT32" s="616"/>
      <c r="BU32" s="616"/>
      <c r="BV32" s="616"/>
      <c r="BW32" s="616"/>
      <c r="BX32" s="616"/>
      <c r="BY32" s="616"/>
      <c r="BZ32" s="616"/>
      <c r="CA32" s="616"/>
      <c r="CB32" s="616"/>
      <c r="CC32" s="616"/>
      <c r="CD32" s="616"/>
      <c r="CE32" s="616"/>
      <c r="CF32" s="616"/>
      <c r="CG32" s="616"/>
      <c r="CH32" s="616"/>
      <c r="CI32" s="616"/>
      <c r="CJ32" s="616"/>
      <c r="CK32" s="616"/>
      <c r="CL32" s="616"/>
      <c r="CM32" s="616"/>
      <c r="CN32" s="616"/>
      <c r="CO32" s="616"/>
      <c r="CP32" s="616"/>
      <c r="CQ32" s="616"/>
      <c r="CR32" s="616"/>
      <c r="CS32" s="616"/>
      <c r="CT32" s="616"/>
      <c r="CU32" s="616"/>
      <c r="CV32" s="616"/>
      <c r="CW32" s="616"/>
      <c r="CX32" s="616"/>
      <c r="CY32" s="616"/>
      <c r="CZ32" s="616"/>
      <c r="DA32" s="616"/>
      <c r="DB32" s="616"/>
      <c r="DC32" s="616"/>
      <c r="DD32" s="616"/>
      <c r="DE32" s="616"/>
      <c r="DF32" s="616"/>
      <c r="DG32" s="616"/>
      <c r="DH32" s="616"/>
      <c r="DI32" s="616"/>
      <c r="DJ32" s="616"/>
      <c r="DK32" s="616"/>
      <c r="DL32" s="616"/>
      <c r="DM32" s="616"/>
      <c r="DN32" s="616"/>
      <c r="DO32" s="616"/>
      <c r="DP32" s="616"/>
      <c r="DQ32" s="616"/>
      <c r="DR32" s="616"/>
      <c r="DS32" s="616"/>
      <c r="DT32" s="616"/>
      <c r="DU32" s="616"/>
      <c r="DV32" s="616"/>
      <c r="DW32" s="616"/>
      <c r="DX32" s="616"/>
      <c r="DY32" s="616"/>
      <c r="DZ32" s="616"/>
      <c r="EA32" s="616"/>
      <c r="EB32" s="616"/>
      <c r="EC32" s="616"/>
      <c r="ED32" s="616"/>
      <c r="EE32" s="616"/>
      <c r="EF32" s="616"/>
      <c r="EG32" s="616"/>
      <c r="EH32" s="616"/>
      <c r="EI32" s="616"/>
      <c r="EJ32" s="616"/>
      <c r="EK32" s="616"/>
      <c r="EL32" s="616"/>
      <c r="EM32" s="616"/>
      <c r="EN32" s="616"/>
      <c r="EO32" s="616"/>
      <c r="EP32" s="616"/>
      <c r="EQ32" s="616"/>
      <c r="ER32" s="616"/>
      <c r="ES32" s="616"/>
      <c r="ET32" s="616"/>
      <c r="EU32" s="616"/>
      <c r="EV32" s="616"/>
      <c r="EW32" s="616"/>
      <c r="EX32" s="616"/>
      <c r="EY32" s="616"/>
      <c r="EZ32" s="616"/>
      <c r="FA32" s="616"/>
      <c r="FB32" s="616"/>
      <c r="FC32" s="616"/>
      <c r="FD32" s="616"/>
      <c r="FE32" s="616"/>
      <c r="FF32" s="616"/>
      <c r="FG32" s="616"/>
      <c r="FH32" s="616"/>
      <c r="FI32" s="616"/>
      <c r="FJ32" s="616"/>
      <c r="FK32" s="616"/>
      <c r="FL32" s="616"/>
      <c r="FM32" s="616"/>
      <c r="FN32" s="616"/>
      <c r="FO32" s="616"/>
      <c r="FP32" s="616"/>
      <c r="FQ32" s="616"/>
      <c r="FR32" s="616"/>
      <c r="FS32" s="616"/>
      <c r="FT32" s="616"/>
      <c r="FU32" s="616"/>
      <c r="FV32" s="616"/>
      <c r="FW32" s="616"/>
      <c r="FX32" s="616"/>
      <c r="FY32" s="616"/>
      <c r="FZ32" s="616"/>
      <c r="GA32" s="616"/>
      <c r="GB32" s="616"/>
      <c r="GC32" s="616"/>
      <c r="GD32" s="616"/>
      <c r="GE32" s="616"/>
      <c r="GF32" s="616"/>
      <c r="GG32" s="616"/>
      <c r="GH32" s="616"/>
      <c r="GI32" s="616"/>
      <c r="GJ32" s="616"/>
      <c r="GK32" s="616"/>
      <c r="GL32" s="616"/>
      <c r="GM32" s="616"/>
      <c r="GN32" s="616"/>
      <c r="GO32" s="616"/>
      <c r="GP32" s="616"/>
      <c r="GQ32" s="616"/>
      <c r="GR32" s="616"/>
      <c r="GS32" s="616"/>
      <c r="GT32" s="616"/>
      <c r="GU32" s="616"/>
      <c r="GV32" s="616"/>
      <c r="GW32" s="616"/>
      <c r="GX32" s="616"/>
      <c r="GY32" s="616"/>
      <c r="GZ32" s="616"/>
      <c r="HA32" s="616"/>
      <c r="HB32" s="616"/>
      <c r="HC32" s="616"/>
      <c r="HD32" s="616"/>
      <c r="HE32" s="616"/>
      <c r="HF32" s="616"/>
      <c r="HG32" s="616"/>
      <c r="HH32" s="616"/>
      <c r="HI32" s="616"/>
      <c r="HJ32" s="616"/>
      <c r="HK32" s="616"/>
      <c r="HL32" s="616"/>
      <c r="HM32" s="616"/>
      <c r="HN32" s="616"/>
      <c r="HO32" s="616"/>
      <c r="HP32" s="616"/>
      <c r="HQ32" s="616"/>
      <c r="HR32" s="616"/>
      <c r="HS32" s="616"/>
      <c r="HT32" s="616"/>
      <c r="HU32" s="616"/>
      <c r="HV32" s="616"/>
      <c r="HW32" s="616"/>
      <c r="HX32" s="616"/>
      <c r="HY32" s="616"/>
      <c r="HZ32" s="616"/>
      <c r="IA32" s="616"/>
      <c r="IB32" s="616"/>
      <c r="IC32" s="616"/>
      <c r="ID32" s="616"/>
      <c r="IE32" s="616"/>
      <c r="IF32" s="616"/>
      <c r="IG32" s="616"/>
      <c r="IH32" s="616"/>
      <c r="II32" s="616"/>
      <c r="IJ32" s="616"/>
      <c r="IK32" s="616"/>
      <c r="IL32" s="616"/>
      <c r="IM32" s="616"/>
      <c r="IN32" s="616"/>
      <c r="IO32" s="616"/>
      <c r="IP32" s="616"/>
      <c r="IQ32" s="616"/>
      <c r="IR32" s="616"/>
      <c r="IS32" s="616"/>
      <c r="IT32" s="616"/>
      <c r="IU32" s="616"/>
      <c r="IV32" s="616"/>
    </row>
    <row r="33" spans="1:256">
      <c r="A33" s="620"/>
      <c r="B33" s="632"/>
      <c r="C33" s="632"/>
      <c r="D33" s="632"/>
      <c r="E33" s="632"/>
      <c r="F33" s="632"/>
      <c r="G33" s="632"/>
      <c r="H33" s="632"/>
      <c r="I33" s="632"/>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6"/>
      <c r="AH33" s="616"/>
      <c r="AI33" s="616"/>
      <c r="AJ33" s="616"/>
      <c r="AK33" s="616"/>
      <c r="AL33" s="616"/>
      <c r="AM33" s="616"/>
      <c r="AN33" s="616"/>
      <c r="AO33" s="616"/>
      <c r="AP33" s="616"/>
      <c r="AQ33" s="616"/>
      <c r="AR33" s="616"/>
      <c r="AS33" s="616"/>
      <c r="AT33" s="616"/>
      <c r="AU33" s="616"/>
      <c r="AV33" s="616"/>
      <c r="AW33" s="616"/>
      <c r="AX33" s="616"/>
      <c r="AY33" s="616"/>
      <c r="AZ33" s="616"/>
      <c r="BA33" s="616"/>
      <c r="BB33" s="616"/>
      <c r="BC33" s="616"/>
      <c r="BD33" s="616"/>
      <c r="BE33" s="616"/>
      <c r="BF33" s="616"/>
      <c r="BG33" s="616"/>
      <c r="BH33" s="616"/>
      <c r="BI33" s="616"/>
      <c r="BJ33" s="616"/>
      <c r="BK33" s="616"/>
      <c r="BL33" s="616"/>
      <c r="BM33" s="616"/>
      <c r="BN33" s="616"/>
      <c r="BO33" s="616"/>
      <c r="BP33" s="616"/>
      <c r="BQ33" s="616"/>
      <c r="BR33" s="616"/>
      <c r="BS33" s="616"/>
      <c r="BT33" s="616"/>
      <c r="BU33" s="616"/>
      <c r="BV33" s="616"/>
      <c r="BW33" s="616"/>
      <c r="BX33" s="616"/>
      <c r="BY33" s="616"/>
      <c r="BZ33" s="616"/>
      <c r="CA33" s="616"/>
      <c r="CB33" s="616"/>
      <c r="CC33" s="616"/>
      <c r="CD33" s="616"/>
      <c r="CE33" s="616"/>
      <c r="CF33" s="616"/>
      <c r="CG33" s="616"/>
      <c r="CH33" s="616"/>
      <c r="CI33" s="616"/>
      <c r="CJ33" s="616"/>
      <c r="CK33" s="616"/>
      <c r="CL33" s="616"/>
      <c r="CM33" s="616"/>
      <c r="CN33" s="616"/>
      <c r="CO33" s="616"/>
      <c r="CP33" s="616"/>
      <c r="CQ33" s="616"/>
      <c r="CR33" s="616"/>
      <c r="CS33" s="616"/>
      <c r="CT33" s="616"/>
      <c r="CU33" s="616"/>
      <c r="CV33" s="616"/>
      <c r="CW33" s="616"/>
      <c r="CX33" s="616"/>
      <c r="CY33" s="616"/>
      <c r="CZ33" s="616"/>
      <c r="DA33" s="616"/>
      <c r="DB33" s="616"/>
      <c r="DC33" s="616"/>
      <c r="DD33" s="616"/>
      <c r="DE33" s="616"/>
      <c r="DF33" s="616"/>
      <c r="DG33" s="616"/>
      <c r="DH33" s="616"/>
      <c r="DI33" s="616"/>
      <c r="DJ33" s="616"/>
      <c r="DK33" s="616"/>
      <c r="DL33" s="616"/>
      <c r="DM33" s="616"/>
      <c r="DN33" s="616"/>
      <c r="DO33" s="616"/>
      <c r="DP33" s="616"/>
      <c r="DQ33" s="616"/>
      <c r="DR33" s="616"/>
      <c r="DS33" s="616"/>
      <c r="DT33" s="616"/>
      <c r="DU33" s="616"/>
      <c r="DV33" s="616"/>
      <c r="DW33" s="616"/>
      <c r="DX33" s="616"/>
      <c r="DY33" s="616"/>
      <c r="DZ33" s="616"/>
      <c r="EA33" s="616"/>
      <c r="EB33" s="616"/>
      <c r="EC33" s="616"/>
      <c r="ED33" s="616"/>
      <c r="EE33" s="616"/>
      <c r="EF33" s="616"/>
      <c r="EG33" s="616"/>
      <c r="EH33" s="616"/>
      <c r="EI33" s="616"/>
      <c r="EJ33" s="616"/>
      <c r="EK33" s="616"/>
      <c r="EL33" s="616"/>
      <c r="EM33" s="616"/>
      <c r="EN33" s="616"/>
      <c r="EO33" s="616"/>
      <c r="EP33" s="616"/>
      <c r="EQ33" s="616"/>
      <c r="ER33" s="616"/>
      <c r="ES33" s="616"/>
      <c r="ET33" s="616"/>
      <c r="EU33" s="616"/>
      <c r="EV33" s="616"/>
      <c r="EW33" s="616"/>
      <c r="EX33" s="616"/>
      <c r="EY33" s="616"/>
      <c r="EZ33" s="616"/>
      <c r="FA33" s="616"/>
      <c r="FB33" s="616"/>
      <c r="FC33" s="616"/>
      <c r="FD33" s="616"/>
      <c r="FE33" s="616"/>
      <c r="FF33" s="616"/>
      <c r="FG33" s="616"/>
      <c r="FH33" s="616"/>
      <c r="FI33" s="616"/>
      <c r="FJ33" s="616"/>
      <c r="FK33" s="616"/>
      <c r="FL33" s="616"/>
      <c r="FM33" s="616"/>
      <c r="FN33" s="616"/>
      <c r="FO33" s="616"/>
      <c r="FP33" s="616"/>
      <c r="FQ33" s="616"/>
      <c r="FR33" s="616"/>
      <c r="FS33" s="616"/>
      <c r="FT33" s="616"/>
      <c r="FU33" s="616"/>
      <c r="FV33" s="616"/>
      <c r="FW33" s="616"/>
      <c r="FX33" s="616"/>
      <c r="FY33" s="616"/>
      <c r="FZ33" s="616"/>
      <c r="GA33" s="616"/>
      <c r="GB33" s="616"/>
      <c r="GC33" s="616"/>
      <c r="GD33" s="616"/>
      <c r="GE33" s="616"/>
      <c r="GF33" s="616"/>
      <c r="GG33" s="616"/>
      <c r="GH33" s="616"/>
      <c r="GI33" s="616"/>
      <c r="GJ33" s="616"/>
      <c r="GK33" s="616"/>
      <c r="GL33" s="616"/>
      <c r="GM33" s="616"/>
      <c r="GN33" s="616"/>
      <c r="GO33" s="616"/>
      <c r="GP33" s="616"/>
      <c r="GQ33" s="616"/>
      <c r="GR33" s="616"/>
      <c r="GS33" s="616"/>
      <c r="GT33" s="616"/>
      <c r="GU33" s="616"/>
      <c r="GV33" s="616"/>
      <c r="GW33" s="616"/>
      <c r="GX33" s="616"/>
      <c r="GY33" s="616"/>
      <c r="GZ33" s="616"/>
      <c r="HA33" s="616"/>
      <c r="HB33" s="616"/>
      <c r="HC33" s="616"/>
      <c r="HD33" s="616"/>
      <c r="HE33" s="616"/>
      <c r="HF33" s="616"/>
      <c r="HG33" s="616"/>
      <c r="HH33" s="616"/>
      <c r="HI33" s="616"/>
      <c r="HJ33" s="616"/>
      <c r="HK33" s="616"/>
      <c r="HL33" s="616"/>
      <c r="HM33" s="616"/>
      <c r="HN33" s="616"/>
      <c r="HO33" s="616"/>
      <c r="HP33" s="616"/>
      <c r="HQ33" s="616"/>
      <c r="HR33" s="616"/>
      <c r="HS33" s="616"/>
      <c r="HT33" s="616"/>
      <c r="HU33" s="616"/>
      <c r="HV33" s="616"/>
      <c r="HW33" s="616"/>
      <c r="HX33" s="616"/>
      <c r="HY33" s="616"/>
      <c r="HZ33" s="616"/>
      <c r="IA33" s="616"/>
      <c r="IB33" s="616"/>
      <c r="IC33" s="616"/>
      <c r="ID33" s="616"/>
      <c r="IE33" s="616"/>
      <c r="IF33" s="616"/>
      <c r="IG33" s="616"/>
      <c r="IH33" s="616"/>
      <c r="II33" s="616"/>
      <c r="IJ33" s="616"/>
      <c r="IK33" s="616"/>
      <c r="IL33" s="616"/>
      <c r="IM33" s="616"/>
      <c r="IN33" s="616"/>
      <c r="IO33" s="616"/>
      <c r="IP33" s="616"/>
      <c r="IQ33" s="616"/>
      <c r="IR33" s="616"/>
      <c r="IS33" s="616"/>
      <c r="IT33" s="616"/>
      <c r="IU33" s="616"/>
      <c r="IV33" s="616"/>
    </row>
    <row r="34" spans="1:256" ht="13" thickBot="1">
      <c r="A34" s="620">
        <f>+A32+1</f>
        <v>19</v>
      </c>
      <c r="B34" s="633" t="str">
        <f>"Proration Adjustment - Line "&amp;A32&amp;" Col. "&amp;I16&amp;" less Col. "&amp;D16</f>
        <v>Proration Adjustment - Line 18 Col. (H) less Col. (C )</v>
      </c>
      <c r="C34" s="633"/>
      <c r="D34" s="633"/>
      <c r="E34" s="633"/>
      <c r="F34" s="633"/>
      <c r="G34" s="633"/>
      <c r="H34" s="633"/>
      <c r="I34" s="634">
        <f>+I32-D32</f>
        <v>0</v>
      </c>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c r="AN34" s="616"/>
      <c r="AO34" s="616"/>
      <c r="AP34" s="616"/>
      <c r="AQ34" s="616"/>
      <c r="AR34" s="616"/>
      <c r="AS34" s="616"/>
      <c r="AT34" s="616"/>
      <c r="AU34" s="616"/>
      <c r="AV34" s="616"/>
      <c r="AW34" s="616"/>
      <c r="AX34" s="616"/>
      <c r="AY34" s="616"/>
      <c r="AZ34" s="616"/>
      <c r="BA34" s="616"/>
      <c r="BB34" s="616"/>
      <c r="BC34" s="616"/>
      <c r="BD34" s="616"/>
      <c r="BE34" s="616"/>
      <c r="BF34" s="616"/>
      <c r="BG34" s="616"/>
      <c r="BH34" s="616"/>
      <c r="BI34" s="616"/>
      <c r="BJ34" s="616"/>
      <c r="BK34" s="616"/>
      <c r="BL34" s="616"/>
      <c r="BM34" s="616"/>
      <c r="BN34" s="616"/>
      <c r="BO34" s="616"/>
      <c r="BP34" s="616"/>
      <c r="BQ34" s="616"/>
      <c r="BR34" s="616"/>
      <c r="BS34" s="616"/>
      <c r="BT34" s="616"/>
      <c r="BU34" s="616"/>
      <c r="BV34" s="616"/>
      <c r="BW34" s="616"/>
      <c r="BX34" s="616"/>
      <c r="BY34" s="616"/>
      <c r="BZ34" s="616"/>
      <c r="CA34" s="616"/>
      <c r="CB34" s="616"/>
      <c r="CC34" s="616"/>
      <c r="CD34" s="616"/>
      <c r="CE34" s="616"/>
      <c r="CF34" s="616"/>
      <c r="CG34" s="616"/>
      <c r="CH34" s="616"/>
      <c r="CI34" s="616"/>
      <c r="CJ34" s="616"/>
      <c r="CK34" s="616"/>
      <c r="CL34" s="616"/>
      <c r="CM34" s="616"/>
      <c r="CN34" s="616"/>
      <c r="CO34" s="616"/>
      <c r="CP34" s="616"/>
      <c r="CQ34" s="616"/>
      <c r="CR34" s="616"/>
      <c r="CS34" s="616"/>
      <c r="CT34" s="616"/>
      <c r="CU34" s="616"/>
      <c r="CV34" s="616"/>
      <c r="CW34" s="616"/>
      <c r="CX34" s="616"/>
      <c r="CY34" s="616"/>
      <c r="CZ34" s="616"/>
      <c r="DA34" s="616"/>
      <c r="DB34" s="616"/>
      <c r="DC34" s="616"/>
      <c r="DD34" s="616"/>
      <c r="DE34" s="616"/>
      <c r="DF34" s="616"/>
      <c r="DG34" s="616"/>
      <c r="DH34" s="616"/>
      <c r="DI34" s="616"/>
      <c r="DJ34" s="616"/>
      <c r="DK34" s="616"/>
      <c r="DL34" s="616"/>
      <c r="DM34" s="616"/>
      <c r="DN34" s="616"/>
      <c r="DO34" s="616"/>
      <c r="DP34" s="616"/>
      <c r="DQ34" s="616"/>
      <c r="DR34" s="616"/>
      <c r="DS34" s="616"/>
      <c r="DT34" s="616"/>
      <c r="DU34" s="616"/>
      <c r="DV34" s="616"/>
      <c r="DW34" s="616"/>
      <c r="DX34" s="616"/>
      <c r="DY34" s="616"/>
      <c r="DZ34" s="616"/>
      <c r="EA34" s="616"/>
      <c r="EB34" s="616"/>
      <c r="EC34" s="616"/>
      <c r="ED34" s="616"/>
      <c r="EE34" s="616"/>
      <c r="EF34" s="616"/>
      <c r="EG34" s="616"/>
      <c r="EH34" s="616"/>
      <c r="EI34" s="616"/>
      <c r="EJ34" s="616"/>
      <c r="EK34" s="616"/>
      <c r="EL34" s="616"/>
      <c r="EM34" s="616"/>
      <c r="EN34" s="616"/>
      <c r="EO34" s="616"/>
      <c r="EP34" s="616"/>
      <c r="EQ34" s="616"/>
      <c r="ER34" s="616"/>
      <c r="ES34" s="616"/>
      <c r="ET34" s="616"/>
      <c r="EU34" s="616"/>
      <c r="EV34" s="616"/>
      <c r="EW34" s="616"/>
      <c r="EX34" s="616"/>
      <c r="EY34" s="616"/>
      <c r="EZ34" s="616"/>
      <c r="FA34" s="616"/>
      <c r="FB34" s="616"/>
      <c r="FC34" s="616"/>
      <c r="FD34" s="616"/>
      <c r="FE34" s="616"/>
      <c r="FF34" s="616"/>
      <c r="FG34" s="616"/>
      <c r="FH34" s="616"/>
      <c r="FI34" s="616"/>
      <c r="FJ34" s="616"/>
      <c r="FK34" s="616"/>
      <c r="FL34" s="616"/>
      <c r="FM34" s="616"/>
      <c r="FN34" s="616"/>
      <c r="FO34" s="616"/>
      <c r="FP34" s="616"/>
      <c r="FQ34" s="616"/>
      <c r="FR34" s="616"/>
      <c r="FS34" s="616"/>
      <c r="FT34" s="616"/>
      <c r="FU34" s="616"/>
      <c r="FV34" s="616"/>
      <c r="FW34" s="616"/>
      <c r="FX34" s="616"/>
      <c r="FY34" s="616"/>
      <c r="FZ34" s="616"/>
      <c r="GA34" s="616"/>
      <c r="GB34" s="616"/>
      <c r="GC34" s="616"/>
      <c r="GD34" s="616"/>
      <c r="GE34" s="616"/>
      <c r="GF34" s="616"/>
      <c r="GG34" s="616"/>
      <c r="GH34" s="616"/>
      <c r="GI34" s="616"/>
      <c r="GJ34" s="616"/>
      <c r="GK34" s="616"/>
      <c r="GL34" s="616"/>
      <c r="GM34" s="616"/>
      <c r="GN34" s="616"/>
      <c r="GO34" s="616"/>
      <c r="GP34" s="616"/>
      <c r="GQ34" s="616"/>
      <c r="GR34" s="616"/>
      <c r="GS34" s="616"/>
      <c r="GT34" s="616"/>
      <c r="GU34" s="616"/>
      <c r="GV34" s="616"/>
      <c r="GW34" s="616"/>
      <c r="GX34" s="616"/>
      <c r="GY34" s="616"/>
      <c r="GZ34" s="616"/>
      <c r="HA34" s="616"/>
      <c r="HB34" s="616"/>
      <c r="HC34" s="616"/>
      <c r="HD34" s="616"/>
      <c r="HE34" s="616"/>
      <c r="HF34" s="616"/>
      <c r="HG34" s="616"/>
      <c r="HH34" s="616"/>
      <c r="HI34" s="616"/>
      <c r="HJ34" s="616"/>
      <c r="HK34" s="616"/>
      <c r="HL34" s="616"/>
      <c r="HM34" s="616"/>
      <c r="HN34" s="616"/>
      <c r="HO34" s="616"/>
      <c r="HP34" s="616"/>
      <c r="HQ34" s="616"/>
      <c r="HR34" s="616"/>
      <c r="HS34" s="616"/>
      <c r="HT34" s="616"/>
      <c r="HU34" s="616"/>
      <c r="HV34" s="616"/>
      <c r="HW34" s="616"/>
      <c r="HX34" s="616"/>
      <c r="HY34" s="616"/>
      <c r="HZ34" s="616"/>
      <c r="IA34" s="616"/>
      <c r="IB34" s="616"/>
      <c r="IC34" s="616"/>
      <c r="ID34" s="616"/>
      <c r="IE34" s="616"/>
      <c r="IF34" s="616"/>
      <c r="IG34" s="616"/>
      <c r="IH34" s="616"/>
      <c r="II34" s="616"/>
      <c r="IJ34" s="616"/>
      <c r="IK34" s="616"/>
      <c r="IL34" s="616"/>
      <c r="IM34" s="616"/>
      <c r="IN34" s="616"/>
      <c r="IO34" s="616"/>
      <c r="IP34" s="616"/>
      <c r="IQ34" s="616"/>
      <c r="IR34" s="616"/>
      <c r="IS34" s="616"/>
      <c r="IT34" s="616"/>
      <c r="IU34" s="616"/>
      <c r="IV34" s="616"/>
    </row>
    <row r="35" spans="1:256" ht="13" thickTop="1">
      <c r="A35" s="616"/>
      <c r="B35" s="632"/>
      <c r="C35" s="632"/>
      <c r="D35" s="632"/>
      <c r="E35" s="632"/>
      <c r="F35" s="632"/>
      <c r="G35" s="632"/>
      <c r="H35" s="632"/>
      <c r="I35" s="632"/>
      <c r="J35" s="616"/>
      <c r="K35" s="616"/>
      <c r="L35" s="616"/>
      <c r="M35" s="616"/>
      <c r="N35" s="616"/>
      <c r="O35" s="616"/>
      <c r="P35" s="616"/>
      <c r="Q35" s="616"/>
      <c r="R35" s="616"/>
      <c r="S35" s="616"/>
      <c r="T35" s="616"/>
      <c r="U35" s="616"/>
      <c r="V35" s="616"/>
      <c r="W35" s="616"/>
      <c r="X35" s="616"/>
      <c r="Y35" s="616"/>
      <c r="Z35" s="616"/>
      <c r="AA35" s="616"/>
      <c r="AB35" s="616"/>
      <c r="AC35" s="616"/>
      <c r="AD35" s="616"/>
      <c r="AE35" s="616"/>
      <c r="AF35" s="616"/>
      <c r="AG35" s="616"/>
      <c r="AH35" s="616"/>
      <c r="AI35" s="616"/>
      <c r="AJ35" s="616"/>
      <c r="AK35" s="616"/>
      <c r="AL35" s="616"/>
      <c r="AM35" s="616"/>
      <c r="AN35" s="616"/>
      <c r="AO35" s="616"/>
      <c r="AP35" s="616"/>
      <c r="AQ35" s="616"/>
      <c r="AR35" s="616"/>
      <c r="AS35" s="616"/>
      <c r="AT35" s="616"/>
      <c r="AU35" s="616"/>
      <c r="AV35" s="616"/>
      <c r="AW35" s="616"/>
      <c r="AX35" s="616"/>
      <c r="AY35" s="616"/>
      <c r="AZ35" s="616"/>
      <c r="BA35" s="616"/>
      <c r="BB35" s="616"/>
      <c r="BC35" s="616"/>
      <c r="BD35" s="616"/>
      <c r="BE35" s="616"/>
      <c r="BF35" s="616"/>
      <c r="BG35" s="616"/>
      <c r="BH35" s="616"/>
      <c r="BI35" s="616"/>
      <c r="BJ35" s="616"/>
      <c r="BK35" s="616"/>
      <c r="BL35" s="616"/>
      <c r="BM35" s="616"/>
      <c r="BN35" s="616"/>
      <c r="BO35" s="616"/>
      <c r="BP35" s="616"/>
      <c r="BQ35" s="616"/>
      <c r="BR35" s="616"/>
      <c r="BS35" s="616"/>
      <c r="BT35" s="616"/>
      <c r="BU35" s="616"/>
      <c r="BV35" s="616"/>
      <c r="BW35" s="616"/>
      <c r="BX35" s="616"/>
      <c r="BY35" s="616"/>
      <c r="BZ35" s="616"/>
      <c r="CA35" s="616"/>
      <c r="CB35" s="616"/>
      <c r="CC35" s="616"/>
      <c r="CD35" s="616"/>
      <c r="CE35" s="616"/>
      <c r="CF35" s="616"/>
      <c r="CG35" s="616"/>
      <c r="CH35" s="616"/>
      <c r="CI35" s="616"/>
      <c r="CJ35" s="616"/>
      <c r="CK35" s="616"/>
      <c r="CL35" s="616"/>
      <c r="CM35" s="616"/>
      <c r="CN35" s="616"/>
      <c r="CO35" s="616"/>
      <c r="CP35" s="616"/>
      <c r="CQ35" s="616"/>
      <c r="CR35" s="616"/>
      <c r="CS35" s="616"/>
      <c r="CT35" s="616"/>
      <c r="CU35" s="616"/>
      <c r="CV35" s="616"/>
      <c r="CW35" s="616"/>
      <c r="CX35" s="616"/>
      <c r="CY35" s="616"/>
      <c r="CZ35" s="616"/>
      <c r="DA35" s="616"/>
      <c r="DB35" s="616"/>
      <c r="DC35" s="616"/>
      <c r="DD35" s="616"/>
      <c r="DE35" s="616"/>
      <c r="DF35" s="616"/>
      <c r="DG35" s="616"/>
      <c r="DH35" s="616"/>
      <c r="DI35" s="616"/>
      <c r="DJ35" s="616"/>
      <c r="DK35" s="616"/>
      <c r="DL35" s="616"/>
      <c r="DM35" s="616"/>
      <c r="DN35" s="616"/>
      <c r="DO35" s="616"/>
      <c r="DP35" s="616"/>
      <c r="DQ35" s="616"/>
      <c r="DR35" s="616"/>
      <c r="DS35" s="616"/>
      <c r="DT35" s="616"/>
      <c r="DU35" s="616"/>
      <c r="DV35" s="616"/>
      <c r="DW35" s="616"/>
      <c r="DX35" s="616"/>
      <c r="DY35" s="616"/>
      <c r="DZ35" s="616"/>
      <c r="EA35" s="616"/>
      <c r="EB35" s="616"/>
      <c r="EC35" s="616"/>
      <c r="ED35" s="616"/>
      <c r="EE35" s="616"/>
      <c r="EF35" s="616"/>
      <c r="EG35" s="616"/>
      <c r="EH35" s="616"/>
      <c r="EI35" s="616"/>
      <c r="EJ35" s="616"/>
      <c r="EK35" s="616"/>
      <c r="EL35" s="616"/>
      <c r="EM35" s="616"/>
      <c r="EN35" s="616"/>
      <c r="EO35" s="616"/>
      <c r="EP35" s="616"/>
      <c r="EQ35" s="616"/>
      <c r="ER35" s="616"/>
      <c r="ES35" s="616"/>
      <c r="ET35" s="616"/>
      <c r="EU35" s="616"/>
      <c r="EV35" s="616"/>
      <c r="EW35" s="616"/>
      <c r="EX35" s="616"/>
      <c r="EY35" s="616"/>
      <c r="EZ35" s="616"/>
      <c r="FA35" s="616"/>
      <c r="FB35" s="616"/>
      <c r="FC35" s="616"/>
      <c r="FD35" s="616"/>
      <c r="FE35" s="616"/>
      <c r="FF35" s="616"/>
      <c r="FG35" s="616"/>
      <c r="FH35" s="616"/>
      <c r="FI35" s="616"/>
      <c r="FJ35" s="616"/>
      <c r="FK35" s="616"/>
      <c r="FL35" s="616"/>
      <c r="FM35" s="616"/>
      <c r="FN35" s="616"/>
      <c r="FO35" s="616"/>
      <c r="FP35" s="616"/>
      <c r="FQ35" s="616"/>
      <c r="FR35" s="616"/>
      <c r="FS35" s="616"/>
      <c r="FT35" s="616"/>
      <c r="FU35" s="616"/>
      <c r="FV35" s="616"/>
      <c r="FW35" s="616"/>
      <c r="FX35" s="616"/>
      <c r="FY35" s="616"/>
      <c r="FZ35" s="616"/>
      <c r="GA35" s="616"/>
      <c r="GB35" s="616"/>
      <c r="GC35" s="616"/>
      <c r="GD35" s="616"/>
      <c r="GE35" s="616"/>
      <c r="GF35" s="616"/>
      <c r="GG35" s="616"/>
      <c r="GH35" s="616"/>
      <c r="GI35" s="616"/>
      <c r="GJ35" s="616"/>
      <c r="GK35" s="616"/>
      <c r="GL35" s="616"/>
      <c r="GM35" s="616"/>
      <c r="GN35" s="616"/>
      <c r="GO35" s="616"/>
      <c r="GP35" s="616"/>
      <c r="GQ35" s="616"/>
      <c r="GR35" s="616"/>
      <c r="GS35" s="616"/>
      <c r="GT35" s="616"/>
      <c r="GU35" s="616"/>
      <c r="GV35" s="616"/>
      <c r="GW35" s="616"/>
      <c r="GX35" s="616"/>
      <c r="GY35" s="616"/>
      <c r="GZ35" s="616"/>
      <c r="HA35" s="616"/>
      <c r="HB35" s="616"/>
      <c r="HC35" s="616"/>
      <c r="HD35" s="616"/>
      <c r="HE35" s="616"/>
      <c r="HF35" s="616"/>
      <c r="HG35" s="616"/>
      <c r="HH35" s="616"/>
      <c r="HI35" s="616"/>
      <c r="HJ35" s="616"/>
      <c r="HK35" s="616"/>
      <c r="HL35" s="616"/>
      <c r="HM35" s="616"/>
      <c r="HN35" s="616"/>
      <c r="HO35" s="616"/>
      <c r="HP35" s="616"/>
      <c r="HQ35" s="616"/>
      <c r="HR35" s="616"/>
      <c r="HS35" s="616"/>
      <c r="HT35" s="616"/>
      <c r="HU35" s="616"/>
      <c r="HV35" s="616"/>
      <c r="HW35" s="616"/>
      <c r="HX35" s="616"/>
      <c r="HY35" s="616"/>
      <c r="HZ35" s="616"/>
      <c r="IA35" s="616"/>
      <c r="IB35" s="616"/>
      <c r="IC35" s="616"/>
      <c r="ID35" s="616"/>
      <c r="IE35" s="616"/>
      <c r="IF35" s="616"/>
      <c r="IG35" s="616"/>
      <c r="IH35" s="616"/>
      <c r="II35" s="616"/>
      <c r="IJ35" s="616"/>
      <c r="IK35" s="616"/>
      <c r="IL35" s="616"/>
      <c r="IM35" s="616"/>
      <c r="IN35" s="616"/>
      <c r="IO35" s="616"/>
      <c r="IP35" s="616"/>
      <c r="IQ35" s="616"/>
      <c r="IR35" s="616"/>
      <c r="IS35" s="616"/>
      <c r="IT35" s="616"/>
      <c r="IU35" s="616"/>
      <c r="IV35" s="616"/>
    </row>
    <row r="36" spans="1:256">
      <c r="A36" s="619" t="s">
        <v>613</v>
      </c>
      <c r="B36" s="618"/>
      <c r="C36" s="616"/>
      <c r="D36" s="618"/>
      <c r="E36" s="2010" t="s">
        <v>344</v>
      </c>
      <c r="F36" s="2010"/>
      <c r="G36" s="618"/>
      <c r="H36" s="618"/>
      <c r="I36" s="618"/>
      <c r="J36" s="616"/>
      <c r="K36" s="616"/>
      <c r="L36" s="616"/>
      <c r="M36" s="616"/>
      <c r="N36" s="616"/>
      <c r="O36" s="616"/>
      <c r="P36" s="616"/>
      <c r="Q36" s="616"/>
      <c r="R36" s="616"/>
      <c r="S36" s="616"/>
      <c r="T36" s="616"/>
      <c r="U36" s="616"/>
      <c r="V36" s="616"/>
      <c r="W36" s="616"/>
      <c r="X36" s="616"/>
      <c r="Y36" s="616"/>
      <c r="Z36" s="616"/>
      <c r="AA36" s="616"/>
      <c r="AB36" s="616"/>
      <c r="AC36" s="616"/>
      <c r="AD36" s="616"/>
      <c r="AE36" s="616"/>
      <c r="AF36" s="616"/>
      <c r="AG36" s="616"/>
      <c r="AH36" s="616"/>
      <c r="AI36" s="616"/>
      <c r="AJ36" s="616"/>
      <c r="AK36" s="616"/>
      <c r="AL36" s="616"/>
      <c r="AM36" s="616"/>
      <c r="AN36" s="616"/>
      <c r="AO36" s="616"/>
      <c r="AP36" s="616"/>
      <c r="AQ36" s="616"/>
      <c r="AR36" s="616"/>
      <c r="AS36" s="616"/>
      <c r="AT36" s="616"/>
      <c r="AU36" s="616"/>
      <c r="AV36" s="616"/>
      <c r="AW36" s="616"/>
      <c r="AX36" s="616"/>
      <c r="AY36" s="616"/>
      <c r="AZ36" s="616"/>
      <c r="BA36" s="616"/>
      <c r="BB36" s="616"/>
      <c r="BC36" s="616"/>
      <c r="BD36" s="616"/>
      <c r="BE36" s="616"/>
      <c r="BF36" s="616"/>
      <c r="BG36" s="616"/>
      <c r="BH36" s="616"/>
      <c r="BI36" s="616"/>
      <c r="BJ36" s="616"/>
      <c r="BK36" s="616"/>
      <c r="BL36" s="616"/>
      <c r="BM36" s="616"/>
      <c r="BN36" s="616"/>
      <c r="BO36" s="616"/>
      <c r="BP36" s="616"/>
      <c r="BQ36" s="616"/>
      <c r="BR36" s="616"/>
      <c r="BS36" s="616"/>
      <c r="BT36" s="616"/>
      <c r="BU36" s="616"/>
      <c r="BV36" s="616"/>
      <c r="BW36" s="616"/>
      <c r="BX36" s="616"/>
      <c r="BY36" s="616"/>
      <c r="BZ36" s="616"/>
      <c r="CA36" s="616"/>
      <c r="CB36" s="616"/>
      <c r="CC36" s="616"/>
      <c r="CD36" s="616"/>
      <c r="CE36" s="616"/>
      <c r="CF36" s="616"/>
      <c r="CG36" s="616"/>
      <c r="CH36" s="616"/>
      <c r="CI36" s="616"/>
      <c r="CJ36" s="616"/>
      <c r="CK36" s="616"/>
      <c r="CL36" s="616"/>
      <c r="CM36" s="616"/>
      <c r="CN36" s="616"/>
      <c r="CO36" s="616"/>
      <c r="CP36" s="616"/>
      <c r="CQ36" s="616"/>
      <c r="CR36" s="616"/>
      <c r="CS36" s="616"/>
      <c r="CT36" s="616"/>
      <c r="CU36" s="616"/>
      <c r="CV36" s="616"/>
      <c r="CW36" s="616"/>
      <c r="CX36" s="616"/>
      <c r="CY36" s="616"/>
      <c r="CZ36" s="616"/>
      <c r="DA36" s="616"/>
      <c r="DB36" s="616"/>
      <c r="DC36" s="616"/>
      <c r="DD36" s="616"/>
      <c r="DE36" s="616"/>
      <c r="DF36" s="616"/>
      <c r="DG36" s="616"/>
      <c r="DH36" s="616"/>
      <c r="DI36" s="616"/>
      <c r="DJ36" s="616"/>
      <c r="DK36" s="616"/>
      <c r="DL36" s="616"/>
      <c r="DM36" s="616"/>
      <c r="DN36" s="616"/>
      <c r="DO36" s="616"/>
      <c r="DP36" s="616"/>
      <c r="DQ36" s="616"/>
      <c r="DR36" s="616"/>
      <c r="DS36" s="616"/>
      <c r="DT36" s="616"/>
      <c r="DU36" s="616"/>
      <c r="DV36" s="616"/>
      <c r="DW36" s="616"/>
      <c r="DX36" s="616"/>
      <c r="DY36" s="616"/>
      <c r="DZ36" s="616"/>
      <c r="EA36" s="616"/>
      <c r="EB36" s="616"/>
      <c r="EC36" s="616"/>
      <c r="ED36" s="616"/>
      <c r="EE36" s="616"/>
      <c r="EF36" s="616"/>
      <c r="EG36" s="616"/>
      <c r="EH36" s="616"/>
      <c r="EI36" s="616"/>
      <c r="EJ36" s="616"/>
      <c r="EK36" s="616"/>
      <c r="EL36" s="616"/>
      <c r="EM36" s="616"/>
      <c r="EN36" s="616"/>
      <c r="EO36" s="616"/>
      <c r="EP36" s="616"/>
      <c r="EQ36" s="616"/>
      <c r="ER36" s="616"/>
      <c r="ES36" s="616"/>
      <c r="ET36" s="616"/>
      <c r="EU36" s="616"/>
      <c r="EV36" s="616"/>
      <c r="EW36" s="616"/>
      <c r="EX36" s="616"/>
      <c r="EY36" s="616"/>
      <c r="EZ36" s="616"/>
      <c r="FA36" s="616"/>
      <c r="FB36" s="616"/>
      <c r="FC36" s="616"/>
      <c r="FD36" s="616"/>
      <c r="FE36" s="616"/>
      <c r="FF36" s="616"/>
      <c r="FG36" s="616"/>
      <c r="FH36" s="616"/>
      <c r="FI36" s="616"/>
      <c r="FJ36" s="616"/>
      <c r="FK36" s="616"/>
      <c r="FL36" s="616"/>
      <c r="FM36" s="616"/>
      <c r="FN36" s="616"/>
      <c r="FO36" s="616"/>
      <c r="FP36" s="616"/>
      <c r="FQ36" s="616"/>
      <c r="FR36" s="616"/>
      <c r="FS36" s="616"/>
      <c r="FT36" s="616"/>
      <c r="FU36" s="616"/>
      <c r="FV36" s="616"/>
      <c r="FW36" s="616"/>
      <c r="FX36" s="616"/>
      <c r="FY36" s="616"/>
      <c r="FZ36" s="616"/>
      <c r="GA36" s="616"/>
      <c r="GB36" s="616"/>
      <c r="GC36" s="616"/>
      <c r="GD36" s="616"/>
      <c r="GE36" s="616"/>
      <c r="GF36" s="616"/>
      <c r="GG36" s="616"/>
      <c r="GH36" s="616"/>
      <c r="GI36" s="616"/>
      <c r="GJ36" s="616"/>
      <c r="GK36" s="616"/>
      <c r="GL36" s="616"/>
      <c r="GM36" s="616"/>
      <c r="GN36" s="616"/>
      <c r="GO36" s="616"/>
      <c r="GP36" s="616"/>
      <c r="GQ36" s="616"/>
      <c r="GR36" s="616"/>
      <c r="GS36" s="616"/>
      <c r="GT36" s="616"/>
      <c r="GU36" s="616"/>
      <c r="GV36" s="616"/>
      <c r="GW36" s="616"/>
      <c r="GX36" s="616"/>
      <c r="GY36" s="616"/>
      <c r="GZ36" s="616"/>
      <c r="HA36" s="616"/>
      <c r="HB36" s="616"/>
      <c r="HC36" s="616"/>
      <c r="HD36" s="616"/>
      <c r="HE36" s="616"/>
      <c r="HF36" s="616"/>
      <c r="HG36" s="616"/>
      <c r="HH36" s="616"/>
      <c r="HI36" s="616"/>
      <c r="HJ36" s="616"/>
      <c r="HK36" s="616"/>
      <c r="HL36" s="616"/>
      <c r="HM36" s="616"/>
      <c r="HN36" s="616"/>
      <c r="HO36" s="616"/>
      <c r="HP36" s="616"/>
      <c r="HQ36" s="616"/>
      <c r="HR36" s="616"/>
      <c r="HS36" s="616"/>
      <c r="HT36" s="616"/>
      <c r="HU36" s="616"/>
      <c r="HV36" s="616"/>
      <c r="HW36" s="616"/>
      <c r="HX36" s="616"/>
      <c r="HY36" s="616"/>
      <c r="HZ36" s="616"/>
      <c r="IA36" s="616"/>
      <c r="IB36" s="616"/>
      <c r="IC36" s="616"/>
      <c r="ID36" s="616"/>
      <c r="IE36" s="616"/>
      <c r="IF36" s="616"/>
      <c r="IG36" s="616"/>
      <c r="IH36" s="616"/>
      <c r="II36" s="616"/>
      <c r="IJ36" s="616"/>
      <c r="IK36" s="616"/>
      <c r="IL36" s="616"/>
      <c r="IM36" s="616"/>
      <c r="IN36" s="616"/>
      <c r="IO36" s="616"/>
      <c r="IP36" s="616"/>
      <c r="IQ36" s="616"/>
      <c r="IR36" s="616"/>
      <c r="IS36" s="616"/>
      <c r="IT36" s="616"/>
      <c r="IU36" s="616"/>
      <c r="IV36" s="616"/>
    </row>
    <row r="37" spans="1:256">
      <c r="A37" s="620">
        <f>+A34+1</f>
        <v>20</v>
      </c>
      <c r="B37" s="622" t="s">
        <v>679</v>
      </c>
      <c r="C37" s="622"/>
      <c r="D37" s="622"/>
      <c r="E37" s="622" t="s">
        <v>523</v>
      </c>
      <c r="F37" s="618"/>
      <c r="G37" s="616"/>
      <c r="H37" s="446">
        <v>0</v>
      </c>
      <c r="I37" s="618"/>
      <c r="J37" s="616"/>
      <c r="K37" s="616"/>
      <c r="L37" s="616"/>
      <c r="M37" s="616"/>
      <c r="N37" s="616"/>
      <c r="O37" s="616"/>
      <c r="P37" s="616"/>
      <c r="Q37" s="616"/>
      <c r="R37" s="616"/>
      <c r="S37" s="616"/>
      <c r="T37" s="616"/>
      <c r="U37" s="616"/>
      <c r="V37" s="616"/>
      <c r="W37" s="616"/>
      <c r="X37" s="616"/>
      <c r="Y37" s="616"/>
      <c r="Z37" s="616"/>
      <c r="AA37" s="616"/>
      <c r="AB37" s="616"/>
      <c r="AC37" s="616"/>
      <c r="AD37" s="616"/>
      <c r="AE37" s="616"/>
      <c r="AF37" s="616"/>
      <c r="AG37" s="616"/>
      <c r="AH37" s="616"/>
      <c r="AI37" s="616"/>
      <c r="AJ37" s="616"/>
      <c r="AK37" s="616"/>
      <c r="AL37" s="616"/>
      <c r="AM37" s="616"/>
      <c r="AN37" s="616"/>
      <c r="AO37" s="616"/>
      <c r="AP37" s="616"/>
      <c r="AQ37" s="616"/>
      <c r="AR37" s="616"/>
      <c r="AS37" s="616"/>
      <c r="AT37" s="616"/>
      <c r="AU37" s="616"/>
      <c r="AV37" s="616"/>
      <c r="AW37" s="616"/>
      <c r="AX37" s="616"/>
      <c r="AY37" s="616"/>
      <c r="AZ37" s="616"/>
      <c r="BA37" s="616"/>
      <c r="BB37" s="616"/>
      <c r="BC37" s="616"/>
      <c r="BD37" s="616"/>
      <c r="BE37" s="616"/>
      <c r="BF37" s="616"/>
      <c r="BG37" s="616"/>
      <c r="BH37" s="616"/>
      <c r="BI37" s="616"/>
      <c r="BJ37" s="616"/>
      <c r="BK37" s="616"/>
      <c r="BL37" s="616"/>
      <c r="BM37" s="616"/>
      <c r="BN37" s="616"/>
      <c r="BO37" s="616"/>
      <c r="BP37" s="616"/>
      <c r="BQ37" s="616"/>
      <c r="BR37" s="616"/>
      <c r="BS37" s="616"/>
      <c r="BT37" s="616"/>
      <c r="BU37" s="616"/>
      <c r="BV37" s="616"/>
      <c r="BW37" s="616"/>
      <c r="BX37" s="616"/>
      <c r="BY37" s="616"/>
      <c r="BZ37" s="616"/>
      <c r="CA37" s="616"/>
      <c r="CB37" s="616"/>
      <c r="CC37" s="616"/>
      <c r="CD37" s="616"/>
      <c r="CE37" s="616"/>
      <c r="CF37" s="616"/>
      <c r="CG37" s="616"/>
      <c r="CH37" s="616"/>
      <c r="CI37" s="616"/>
      <c r="CJ37" s="616"/>
      <c r="CK37" s="616"/>
      <c r="CL37" s="616"/>
      <c r="CM37" s="616"/>
      <c r="CN37" s="616"/>
      <c r="CO37" s="616"/>
      <c r="CP37" s="616"/>
      <c r="CQ37" s="616"/>
      <c r="CR37" s="616"/>
      <c r="CS37" s="616"/>
      <c r="CT37" s="616"/>
      <c r="CU37" s="616"/>
      <c r="CV37" s="616"/>
      <c r="CW37" s="616"/>
      <c r="CX37" s="616"/>
      <c r="CY37" s="616"/>
      <c r="CZ37" s="616"/>
      <c r="DA37" s="616"/>
      <c r="DB37" s="616"/>
      <c r="DC37" s="616"/>
      <c r="DD37" s="616"/>
      <c r="DE37" s="616"/>
      <c r="DF37" s="616"/>
      <c r="DG37" s="616"/>
      <c r="DH37" s="616"/>
      <c r="DI37" s="616"/>
      <c r="DJ37" s="616"/>
      <c r="DK37" s="616"/>
      <c r="DL37" s="616"/>
      <c r="DM37" s="616"/>
      <c r="DN37" s="616"/>
      <c r="DO37" s="616"/>
      <c r="DP37" s="616"/>
      <c r="DQ37" s="616"/>
      <c r="DR37" s="616"/>
      <c r="DS37" s="616"/>
      <c r="DT37" s="616"/>
      <c r="DU37" s="616"/>
      <c r="DV37" s="616"/>
      <c r="DW37" s="616"/>
      <c r="DX37" s="616"/>
      <c r="DY37" s="616"/>
      <c r="DZ37" s="616"/>
      <c r="EA37" s="616"/>
      <c r="EB37" s="616"/>
      <c r="EC37" s="616"/>
      <c r="ED37" s="616"/>
      <c r="EE37" s="616"/>
      <c r="EF37" s="616"/>
      <c r="EG37" s="616"/>
      <c r="EH37" s="616"/>
      <c r="EI37" s="616"/>
      <c r="EJ37" s="616"/>
      <c r="EK37" s="616"/>
      <c r="EL37" s="616"/>
      <c r="EM37" s="616"/>
      <c r="EN37" s="616"/>
      <c r="EO37" s="616"/>
      <c r="EP37" s="616"/>
      <c r="EQ37" s="616"/>
      <c r="ER37" s="616"/>
      <c r="ES37" s="616"/>
      <c r="ET37" s="616"/>
      <c r="EU37" s="616"/>
      <c r="EV37" s="616"/>
      <c r="EW37" s="616"/>
      <c r="EX37" s="616"/>
      <c r="EY37" s="616"/>
      <c r="EZ37" s="616"/>
      <c r="FA37" s="616"/>
      <c r="FB37" s="616"/>
      <c r="FC37" s="616"/>
      <c r="FD37" s="616"/>
      <c r="FE37" s="616"/>
      <c r="FF37" s="616"/>
      <c r="FG37" s="616"/>
      <c r="FH37" s="616"/>
      <c r="FI37" s="616"/>
      <c r="FJ37" s="616"/>
      <c r="FK37" s="616"/>
      <c r="FL37" s="616"/>
      <c r="FM37" s="616"/>
      <c r="FN37" s="616"/>
      <c r="FO37" s="616"/>
      <c r="FP37" s="616"/>
      <c r="FQ37" s="616"/>
      <c r="FR37" s="616"/>
      <c r="FS37" s="616"/>
      <c r="FT37" s="616"/>
      <c r="FU37" s="616"/>
      <c r="FV37" s="616"/>
      <c r="FW37" s="616"/>
      <c r="FX37" s="616"/>
      <c r="FY37" s="616"/>
      <c r="FZ37" s="616"/>
      <c r="GA37" s="616"/>
      <c r="GB37" s="616"/>
      <c r="GC37" s="616"/>
      <c r="GD37" s="616"/>
      <c r="GE37" s="616"/>
      <c r="GF37" s="616"/>
      <c r="GG37" s="616"/>
      <c r="GH37" s="616"/>
      <c r="GI37" s="616"/>
      <c r="GJ37" s="616"/>
      <c r="GK37" s="616"/>
      <c r="GL37" s="616"/>
      <c r="GM37" s="616"/>
      <c r="GN37" s="616"/>
      <c r="GO37" s="616"/>
      <c r="GP37" s="616"/>
      <c r="GQ37" s="616"/>
      <c r="GR37" s="616"/>
      <c r="GS37" s="616"/>
      <c r="GT37" s="616"/>
      <c r="GU37" s="616"/>
      <c r="GV37" s="616"/>
      <c r="GW37" s="616"/>
      <c r="GX37" s="616"/>
      <c r="GY37" s="616"/>
      <c r="GZ37" s="616"/>
      <c r="HA37" s="616"/>
      <c r="HB37" s="616"/>
      <c r="HC37" s="616"/>
      <c r="HD37" s="616"/>
      <c r="HE37" s="616"/>
      <c r="HF37" s="616"/>
      <c r="HG37" s="616"/>
      <c r="HH37" s="616"/>
      <c r="HI37" s="616"/>
      <c r="HJ37" s="616"/>
      <c r="HK37" s="616"/>
      <c r="HL37" s="616"/>
      <c r="HM37" s="616"/>
      <c r="HN37" s="616"/>
      <c r="HO37" s="616"/>
      <c r="HP37" s="616"/>
      <c r="HQ37" s="616"/>
      <c r="HR37" s="616"/>
      <c r="HS37" s="616"/>
      <c r="HT37" s="616"/>
      <c r="HU37" s="616"/>
      <c r="HV37" s="616"/>
      <c r="HW37" s="616"/>
      <c r="HX37" s="616"/>
      <c r="HY37" s="616"/>
      <c r="HZ37" s="616"/>
      <c r="IA37" s="616"/>
      <c r="IB37" s="616"/>
      <c r="IC37" s="616"/>
      <c r="ID37" s="616"/>
      <c r="IE37" s="616"/>
      <c r="IF37" s="616"/>
      <c r="IG37" s="616"/>
      <c r="IH37" s="616"/>
      <c r="II37" s="616"/>
      <c r="IJ37" s="616"/>
      <c r="IK37" s="616"/>
      <c r="IL37" s="616"/>
      <c r="IM37" s="616"/>
      <c r="IN37" s="616"/>
      <c r="IO37" s="616"/>
      <c r="IP37" s="616"/>
      <c r="IQ37" s="616"/>
      <c r="IR37" s="616"/>
      <c r="IS37" s="616"/>
      <c r="IT37" s="616"/>
      <c r="IU37" s="616"/>
      <c r="IV37" s="616"/>
    </row>
    <row r="38" spans="1:256">
      <c r="A38" s="620">
        <f>+A37+1</f>
        <v>21</v>
      </c>
      <c r="B38" s="622" t="s">
        <v>680</v>
      </c>
      <c r="C38" s="622"/>
      <c r="D38" s="622"/>
      <c r="E38" s="622" t="s">
        <v>524</v>
      </c>
      <c r="F38" s="618"/>
      <c r="G38" s="616"/>
      <c r="H38" s="446">
        <v>0</v>
      </c>
      <c r="I38" s="618"/>
      <c r="J38" s="616"/>
      <c r="K38" s="616"/>
      <c r="L38" s="616"/>
      <c r="M38" s="616"/>
      <c r="N38" s="616"/>
      <c r="O38" s="616"/>
      <c r="P38" s="616"/>
      <c r="Q38" s="616"/>
      <c r="R38" s="616"/>
      <c r="S38" s="616"/>
      <c r="T38" s="616"/>
      <c r="U38" s="616"/>
      <c r="V38" s="616"/>
      <c r="W38" s="616"/>
      <c r="X38" s="616"/>
      <c r="Y38" s="616"/>
      <c r="Z38" s="616"/>
      <c r="AA38" s="616"/>
      <c r="AB38" s="616"/>
      <c r="AC38" s="616"/>
      <c r="AD38" s="616"/>
      <c r="AE38" s="616"/>
      <c r="AF38" s="616"/>
      <c r="AG38" s="616"/>
      <c r="AH38" s="616"/>
      <c r="AI38" s="616"/>
      <c r="AJ38" s="616"/>
      <c r="AK38" s="616"/>
      <c r="AL38" s="616"/>
      <c r="AM38" s="616"/>
      <c r="AN38" s="616"/>
      <c r="AO38" s="616"/>
      <c r="AP38" s="616"/>
      <c r="AQ38" s="616"/>
      <c r="AR38" s="616"/>
      <c r="AS38" s="616"/>
      <c r="AT38" s="616"/>
      <c r="AU38" s="616"/>
      <c r="AV38" s="616"/>
      <c r="AW38" s="616"/>
      <c r="AX38" s="616"/>
      <c r="AY38" s="616"/>
      <c r="AZ38" s="616"/>
      <c r="BA38" s="616"/>
      <c r="BB38" s="616"/>
      <c r="BC38" s="616"/>
      <c r="BD38" s="616"/>
      <c r="BE38" s="616"/>
      <c r="BF38" s="616"/>
      <c r="BG38" s="616"/>
      <c r="BH38" s="616"/>
      <c r="BI38" s="616"/>
      <c r="BJ38" s="616"/>
      <c r="BK38" s="616"/>
      <c r="BL38" s="616"/>
      <c r="BM38" s="616"/>
      <c r="BN38" s="616"/>
      <c r="BO38" s="616"/>
      <c r="BP38" s="616"/>
      <c r="BQ38" s="616"/>
      <c r="BR38" s="616"/>
      <c r="BS38" s="616"/>
      <c r="BT38" s="616"/>
      <c r="BU38" s="616"/>
      <c r="BV38" s="616"/>
      <c r="BW38" s="616"/>
      <c r="BX38" s="616"/>
      <c r="BY38" s="616"/>
      <c r="BZ38" s="616"/>
      <c r="CA38" s="616"/>
      <c r="CB38" s="616"/>
      <c r="CC38" s="616"/>
      <c r="CD38" s="616"/>
      <c r="CE38" s="616"/>
      <c r="CF38" s="616"/>
      <c r="CG38" s="616"/>
      <c r="CH38" s="616"/>
      <c r="CI38" s="616"/>
      <c r="CJ38" s="616"/>
      <c r="CK38" s="616"/>
      <c r="CL38" s="616"/>
      <c r="CM38" s="616"/>
      <c r="CN38" s="616"/>
      <c r="CO38" s="616"/>
      <c r="CP38" s="616"/>
      <c r="CQ38" s="616"/>
      <c r="CR38" s="616"/>
      <c r="CS38" s="616"/>
      <c r="CT38" s="616"/>
      <c r="CU38" s="616"/>
      <c r="CV38" s="616"/>
      <c r="CW38" s="616"/>
      <c r="CX38" s="616"/>
      <c r="CY38" s="616"/>
      <c r="CZ38" s="616"/>
      <c r="DA38" s="616"/>
      <c r="DB38" s="616"/>
      <c r="DC38" s="616"/>
      <c r="DD38" s="616"/>
      <c r="DE38" s="616"/>
      <c r="DF38" s="616"/>
      <c r="DG38" s="616"/>
      <c r="DH38" s="616"/>
      <c r="DI38" s="616"/>
      <c r="DJ38" s="616"/>
      <c r="DK38" s="616"/>
      <c r="DL38" s="616"/>
      <c r="DM38" s="616"/>
      <c r="DN38" s="616"/>
      <c r="DO38" s="616"/>
      <c r="DP38" s="616"/>
      <c r="DQ38" s="616"/>
      <c r="DR38" s="616"/>
      <c r="DS38" s="616"/>
      <c r="DT38" s="616"/>
      <c r="DU38" s="616"/>
      <c r="DV38" s="616"/>
      <c r="DW38" s="616"/>
      <c r="DX38" s="616"/>
      <c r="DY38" s="616"/>
      <c r="DZ38" s="616"/>
      <c r="EA38" s="616"/>
      <c r="EB38" s="616"/>
      <c r="EC38" s="616"/>
      <c r="ED38" s="616"/>
      <c r="EE38" s="616"/>
      <c r="EF38" s="616"/>
      <c r="EG38" s="616"/>
      <c r="EH38" s="616"/>
      <c r="EI38" s="616"/>
      <c r="EJ38" s="616"/>
      <c r="EK38" s="616"/>
      <c r="EL38" s="616"/>
      <c r="EM38" s="616"/>
      <c r="EN38" s="616"/>
      <c r="EO38" s="616"/>
      <c r="EP38" s="616"/>
      <c r="EQ38" s="616"/>
      <c r="ER38" s="616"/>
      <c r="ES38" s="616"/>
      <c r="ET38" s="616"/>
      <c r="EU38" s="616"/>
      <c r="EV38" s="616"/>
      <c r="EW38" s="616"/>
      <c r="EX38" s="616"/>
      <c r="EY38" s="616"/>
      <c r="EZ38" s="616"/>
      <c r="FA38" s="616"/>
      <c r="FB38" s="616"/>
      <c r="FC38" s="616"/>
      <c r="FD38" s="616"/>
      <c r="FE38" s="616"/>
      <c r="FF38" s="616"/>
      <c r="FG38" s="616"/>
      <c r="FH38" s="616"/>
      <c r="FI38" s="616"/>
      <c r="FJ38" s="616"/>
      <c r="FK38" s="616"/>
      <c r="FL38" s="616"/>
      <c r="FM38" s="616"/>
      <c r="FN38" s="616"/>
      <c r="FO38" s="616"/>
      <c r="FP38" s="616"/>
      <c r="FQ38" s="616"/>
      <c r="FR38" s="616"/>
      <c r="FS38" s="616"/>
      <c r="FT38" s="616"/>
      <c r="FU38" s="616"/>
      <c r="FV38" s="616"/>
      <c r="FW38" s="616"/>
      <c r="FX38" s="616"/>
      <c r="FY38" s="616"/>
      <c r="FZ38" s="616"/>
      <c r="GA38" s="616"/>
      <c r="GB38" s="616"/>
      <c r="GC38" s="616"/>
      <c r="GD38" s="616"/>
      <c r="GE38" s="616"/>
      <c r="GF38" s="616"/>
      <c r="GG38" s="616"/>
      <c r="GH38" s="616"/>
      <c r="GI38" s="616"/>
      <c r="GJ38" s="616"/>
      <c r="GK38" s="616"/>
      <c r="GL38" s="616"/>
      <c r="GM38" s="616"/>
      <c r="GN38" s="616"/>
      <c r="GO38" s="616"/>
      <c r="GP38" s="616"/>
      <c r="GQ38" s="616"/>
      <c r="GR38" s="616"/>
      <c r="GS38" s="616"/>
      <c r="GT38" s="616"/>
      <c r="GU38" s="616"/>
      <c r="GV38" s="616"/>
      <c r="GW38" s="616"/>
      <c r="GX38" s="616"/>
      <c r="GY38" s="616"/>
      <c r="GZ38" s="616"/>
      <c r="HA38" s="616"/>
      <c r="HB38" s="616"/>
      <c r="HC38" s="616"/>
      <c r="HD38" s="616"/>
      <c r="HE38" s="616"/>
      <c r="HF38" s="616"/>
      <c r="HG38" s="616"/>
      <c r="HH38" s="616"/>
      <c r="HI38" s="616"/>
      <c r="HJ38" s="616"/>
      <c r="HK38" s="616"/>
      <c r="HL38" s="616"/>
      <c r="HM38" s="616"/>
      <c r="HN38" s="616"/>
      <c r="HO38" s="616"/>
      <c r="HP38" s="616"/>
      <c r="HQ38" s="616"/>
      <c r="HR38" s="616"/>
      <c r="HS38" s="616"/>
      <c r="HT38" s="616"/>
      <c r="HU38" s="616"/>
      <c r="HV38" s="616"/>
      <c r="HW38" s="616"/>
      <c r="HX38" s="616"/>
      <c r="HY38" s="616"/>
      <c r="HZ38" s="616"/>
      <c r="IA38" s="616"/>
      <c r="IB38" s="616"/>
      <c r="IC38" s="616"/>
      <c r="ID38" s="616"/>
      <c r="IE38" s="616"/>
      <c r="IF38" s="616"/>
      <c r="IG38" s="616"/>
      <c r="IH38" s="616"/>
      <c r="II38" s="616"/>
      <c r="IJ38" s="616"/>
      <c r="IK38" s="616"/>
      <c r="IL38" s="616"/>
      <c r="IM38" s="616"/>
      <c r="IN38" s="616"/>
      <c r="IO38" s="616"/>
      <c r="IP38" s="616"/>
      <c r="IQ38" s="616"/>
      <c r="IR38" s="616"/>
      <c r="IS38" s="616"/>
      <c r="IT38" s="616"/>
      <c r="IU38" s="616"/>
      <c r="IV38" s="616"/>
    </row>
    <row r="39" spans="1:256">
      <c r="A39" s="620">
        <f>+A38+1</f>
        <v>22</v>
      </c>
      <c r="B39" s="622" t="s">
        <v>507</v>
      </c>
      <c r="C39" s="622"/>
      <c r="D39" s="622"/>
      <c r="E39" s="622" t="str">
        <f>"Line "&amp;A37&amp;" less Line "&amp;A38</f>
        <v>Line 20 less Line 21</v>
      </c>
      <c r="F39" s="618"/>
      <c r="G39" s="616"/>
      <c r="H39" s="623">
        <f>+H37-H38</f>
        <v>0</v>
      </c>
      <c r="I39" s="618"/>
      <c r="J39" s="616"/>
      <c r="K39" s="616"/>
      <c r="L39" s="616"/>
      <c r="M39" s="616"/>
      <c r="N39" s="616"/>
      <c r="O39" s="616"/>
      <c r="P39" s="616"/>
      <c r="Q39" s="616"/>
      <c r="R39" s="616"/>
      <c r="S39" s="616"/>
      <c r="T39" s="616"/>
      <c r="U39" s="616"/>
      <c r="V39" s="616"/>
      <c r="W39" s="616"/>
      <c r="X39" s="616"/>
      <c r="Y39" s="616"/>
      <c r="Z39" s="616"/>
      <c r="AA39" s="616"/>
      <c r="AB39" s="616"/>
      <c r="AC39" s="616"/>
      <c r="AD39" s="616"/>
      <c r="AE39" s="616"/>
      <c r="AF39" s="616"/>
      <c r="AG39" s="616"/>
      <c r="AH39" s="616"/>
      <c r="AI39" s="616"/>
      <c r="AJ39" s="616"/>
      <c r="AK39" s="616"/>
      <c r="AL39" s="616"/>
      <c r="AM39" s="616"/>
      <c r="AN39" s="616"/>
      <c r="AO39" s="616"/>
      <c r="AP39" s="616"/>
      <c r="AQ39" s="616"/>
      <c r="AR39" s="616"/>
      <c r="AS39" s="616"/>
      <c r="AT39" s="616"/>
      <c r="AU39" s="616"/>
      <c r="AV39" s="616"/>
      <c r="AW39" s="616"/>
      <c r="AX39" s="616"/>
      <c r="AY39" s="616"/>
      <c r="AZ39" s="616"/>
      <c r="BA39" s="616"/>
      <c r="BB39" s="616"/>
      <c r="BC39" s="616"/>
      <c r="BD39" s="616"/>
      <c r="BE39" s="616"/>
      <c r="BF39" s="616"/>
      <c r="BG39" s="616"/>
      <c r="BH39" s="616"/>
      <c r="BI39" s="616"/>
      <c r="BJ39" s="616"/>
      <c r="BK39" s="616"/>
      <c r="BL39" s="616"/>
      <c r="BM39" s="616"/>
      <c r="BN39" s="616"/>
      <c r="BO39" s="616"/>
      <c r="BP39" s="616"/>
      <c r="BQ39" s="616"/>
      <c r="BR39" s="616"/>
      <c r="BS39" s="616"/>
      <c r="BT39" s="616"/>
      <c r="BU39" s="616"/>
      <c r="BV39" s="616"/>
      <c r="BW39" s="616"/>
      <c r="BX39" s="616"/>
      <c r="BY39" s="616"/>
      <c r="BZ39" s="616"/>
      <c r="CA39" s="616"/>
      <c r="CB39" s="616"/>
      <c r="CC39" s="616"/>
      <c r="CD39" s="616"/>
      <c r="CE39" s="616"/>
      <c r="CF39" s="616"/>
      <c r="CG39" s="616"/>
      <c r="CH39" s="616"/>
      <c r="CI39" s="616"/>
      <c r="CJ39" s="616"/>
      <c r="CK39" s="616"/>
      <c r="CL39" s="616"/>
      <c r="CM39" s="616"/>
      <c r="CN39" s="616"/>
      <c r="CO39" s="616"/>
      <c r="CP39" s="616"/>
      <c r="CQ39" s="616"/>
      <c r="CR39" s="616"/>
      <c r="CS39" s="616"/>
      <c r="CT39" s="616"/>
      <c r="CU39" s="616"/>
      <c r="CV39" s="616"/>
      <c r="CW39" s="616"/>
      <c r="CX39" s="616"/>
      <c r="CY39" s="616"/>
      <c r="CZ39" s="616"/>
      <c r="DA39" s="616"/>
      <c r="DB39" s="616"/>
      <c r="DC39" s="616"/>
      <c r="DD39" s="616"/>
      <c r="DE39" s="616"/>
      <c r="DF39" s="616"/>
      <c r="DG39" s="616"/>
      <c r="DH39" s="616"/>
      <c r="DI39" s="616"/>
      <c r="DJ39" s="616"/>
      <c r="DK39" s="616"/>
      <c r="DL39" s="616"/>
      <c r="DM39" s="616"/>
      <c r="DN39" s="616"/>
      <c r="DO39" s="616"/>
      <c r="DP39" s="616"/>
      <c r="DQ39" s="616"/>
      <c r="DR39" s="616"/>
      <c r="DS39" s="616"/>
      <c r="DT39" s="616"/>
      <c r="DU39" s="616"/>
      <c r="DV39" s="616"/>
      <c r="DW39" s="616"/>
      <c r="DX39" s="616"/>
      <c r="DY39" s="616"/>
      <c r="DZ39" s="616"/>
      <c r="EA39" s="616"/>
      <c r="EB39" s="616"/>
      <c r="EC39" s="616"/>
      <c r="ED39" s="616"/>
      <c r="EE39" s="616"/>
      <c r="EF39" s="616"/>
      <c r="EG39" s="616"/>
      <c r="EH39" s="616"/>
      <c r="EI39" s="616"/>
      <c r="EJ39" s="616"/>
      <c r="EK39" s="616"/>
      <c r="EL39" s="616"/>
      <c r="EM39" s="616"/>
      <c r="EN39" s="616"/>
      <c r="EO39" s="616"/>
      <c r="EP39" s="616"/>
      <c r="EQ39" s="616"/>
      <c r="ER39" s="616"/>
      <c r="ES39" s="616"/>
      <c r="ET39" s="616"/>
      <c r="EU39" s="616"/>
      <c r="EV39" s="616"/>
      <c r="EW39" s="616"/>
      <c r="EX39" s="616"/>
      <c r="EY39" s="616"/>
      <c r="EZ39" s="616"/>
      <c r="FA39" s="616"/>
      <c r="FB39" s="616"/>
      <c r="FC39" s="616"/>
      <c r="FD39" s="616"/>
      <c r="FE39" s="616"/>
      <c r="FF39" s="616"/>
      <c r="FG39" s="616"/>
      <c r="FH39" s="616"/>
      <c r="FI39" s="616"/>
      <c r="FJ39" s="616"/>
      <c r="FK39" s="616"/>
      <c r="FL39" s="616"/>
      <c r="FM39" s="616"/>
      <c r="FN39" s="616"/>
      <c r="FO39" s="616"/>
      <c r="FP39" s="616"/>
      <c r="FQ39" s="616"/>
      <c r="FR39" s="616"/>
      <c r="FS39" s="616"/>
      <c r="FT39" s="616"/>
      <c r="FU39" s="616"/>
      <c r="FV39" s="616"/>
      <c r="FW39" s="616"/>
      <c r="FX39" s="616"/>
      <c r="FY39" s="616"/>
      <c r="FZ39" s="616"/>
      <c r="GA39" s="616"/>
      <c r="GB39" s="616"/>
      <c r="GC39" s="616"/>
      <c r="GD39" s="616"/>
      <c r="GE39" s="616"/>
      <c r="GF39" s="616"/>
      <c r="GG39" s="616"/>
      <c r="GH39" s="616"/>
      <c r="GI39" s="616"/>
      <c r="GJ39" s="616"/>
      <c r="GK39" s="616"/>
      <c r="GL39" s="616"/>
      <c r="GM39" s="616"/>
      <c r="GN39" s="616"/>
      <c r="GO39" s="616"/>
      <c r="GP39" s="616"/>
      <c r="GQ39" s="616"/>
      <c r="GR39" s="616"/>
      <c r="GS39" s="616"/>
      <c r="GT39" s="616"/>
      <c r="GU39" s="616"/>
      <c r="GV39" s="616"/>
      <c r="GW39" s="616"/>
      <c r="GX39" s="616"/>
      <c r="GY39" s="616"/>
      <c r="GZ39" s="616"/>
      <c r="HA39" s="616"/>
      <c r="HB39" s="616"/>
      <c r="HC39" s="616"/>
      <c r="HD39" s="616"/>
      <c r="HE39" s="616"/>
      <c r="HF39" s="616"/>
      <c r="HG39" s="616"/>
      <c r="HH39" s="616"/>
      <c r="HI39" s="616"/>
      <c r="HJ39" s="616"/>
      <c r="HK39" s="616"/>
      <c r="HL39" s="616"/>
      <c r="HM39" s="616"/>
      <c r="HN39" s="616"/>
      <c r="HO39" s="616"/>
      <c r="HP39" s="616"/>
      <c r="HQ39" s="616"/>
      <c r="HR39" s="616"/>
      <c r="HS39" s="616"/>
      <c r="HT39" s="616"/>
      <c r="HU39" s="616"/>
      <c r="HV39" s="616"/>
      <c r="HW39" s="616"/>
      <c r="HX39" s="616"/>
      <c r="HY39" s="616"/>
      <c r="HZ39" s="616"/>
      <c r="IA39" s="616"/>
      <c r="IB39" s="616"/>
      <c r="IC39" s="616"/>
      <c r="ID39" s="616"/>
      <c r="IE39" s="616"/>
      <c r="IF39" s="616"/>
      <c r="IG39" s="616"/>
      <c r="IH39" s="616"/>
      <c r="II39" s="616"/>
      <c r="IJ39" s="616"/>
      <c r="IK39" s="616"/>
      <c r="IL39" s="616"/>
      <c r="IM39" s="616"/>
      <c r="IN39" s="616"/>
      <c r="IO39" s="616"/>
      <c r="IP39" s="616"/>
      <c r="IQ39" s="616"/>
      <c r="IR39" s="616"/>
      <c r="IS39" s="616"/>
      <c r="IT39" s="616"/>
      <c r="IU39" s="616"/>
      <c r="IV39" s="616"/>
    </row>
    <row r="40" spans="1:256">
      <c r="A40" s="620">
        <f>+A39+1</f>
        <v>23</v>
      </c>
      <c r="B40" s="622" t="s">
        <v>508</v>
      </c>
      <c r="C40" s="622"/>
      <c r="D40" s="622"/>
      <c r="E40" s="622" t="str">
        <f>"Line "&amp;A39&amp;" / 12"</f>
        <v>Line 22 / 12</v>
      </c>
      <c r="F40" s="618"/>
      <c r="G40" s="616"/>
      <c r="H40" s="624">
        <f>+H39/12</f>
        <v>0</v>
      </c>
      <c r="I40" s="618"/>
      <c r="J40" s="616"/>
      <c r="K40" s="616"/>
      <c r="L40" s="616"/>
      <c r="M40" s="616"/>
      <c r="N40" s="616"/>
      <c r="O40" s="616"/>
      <c r="P40" s="616"/>
      <c r="Q40" s="616"/>
      <c r="R40" s="616"/>
      <c r="S40" s="616"/>
      <c r="T40" s="616"/>
      <c r="U40" s="616"/>
      <c r="V40" s="616"/>
      <c r="W40" s="616"/>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6"/>
      <c r="AU40" s="616"/>
      <c r="AV40" s="616"/>
      <c r="AW40" s="616"/>
      <c r="AX40" s="616"/>
      <c r="AY40" s="616"/>
      <c r="AZ40" s="616"/>
      <c r="BA40" s="616"/>
      <c r="BB40" s="616"/>
      <c r="BC40" s="616"/>
      <c r="BD40" s="616"/>
      <c r="BE40" s="616"/>
      <c r="BF40" s="616"/>
      <c r="BG40" s="616"/>
      <c r="BH40" s="616"/>
      <c r="BI40" s="616"/>
      <c r="BJ40" s="616"/>
      <c r="BK40" s="616"/>
      <c r="BL40" s="616"/>
      <c r="BM40" s="616"/>
      <c r="BN40" s="616"/>
      <c r="BO40" s="616"/>
      <c r="BP40" s="616"/>
      <c r="BQ40" s="616"/>
      <c r="BR40" s="616"/>
      <c r="BS40" s="616"/>
      <c r="BT40" s="616"/>
      <c r="BU40" s="616"/>
      <c r="BV40" s="616"/>
      <c r="BW40" s="616"/>
      <c r="BX40" s="616"/>
      <c r="BY40" s="616"/>
      <c r="BZ40" s="616"/>
      <c r="CA40" s="616"/>
      <c r="CB40" s="616"/>
      <c r="CC40" s="616"/>
      <c r="CD40" s="616"/>
      <c r="CE40" s="616"/>
      <c r="CF40" s="616"/>
      <c r="CG40" s="616"/>
      <c r="CH40" s="616"/>
      <c r="CI40" s="616"/>
      <c r="CJ40" s="616"/>
      <c r="CK40" s="616"/>
      <c r="CL40" s="616"/>
      <c r="CM40" s="616"/>
      <c r="CN40" s="616"/>
      <c r="CO40" s="616"/>
      <c r="CP40" s="616"/>
      <c r="CQ40" s="616"/>
      <c r="CR40" s="616"/>
      <c r="CS40" s="616"/>
      <c r="CT40" s="616"/>
      <c r="CU40" s="616"/>
      <c r="CV40" s="616"/>
      <c r="CW40" s="616"/>
      <c r="CX40" s="616"/>
      <c r="CY40" s="616"/>
      <c r="CZ40" s="616"/>
      <c r="DA40" s="616"/>
      <c r="DB40" s="616"/>
      <c r="DC40" s="616"/>
      <c r="DD40" s="616"/>
      <c r="DE40" s="616"/>
      <c r="DF40" s="616"/>
      <c r="DG40" s="616"/>
      <c r="DH40" s="616"/>
      <c r="DI40" s="616"/>
      <c r="DJ40" s="616"/>
      <c r="DK40" s="616"/>
      <c r="DL40" s="616"/>
      <c r="DM40" s="616"/>
      <c r="DN40" s="616"/>
      <c r="DO40" s="616"/>
      <c r="DP40" s="616"/>
      <c r="DQ40" s="616"/>
      <c r="DR40" s="616"/>
      <c r="DS40" s="616"/>
      <c r="DT40" s="616"/>
      <c r="DU40" s="616"/>
      <c r="DV40" s="616"/>
      <c r="DW40" s="616"/>
      <c r="DX40" s="616"/>
      <c r="DY40" s="616"/>
      <c r="DZ40" s="616"/>
      <c r="EA40" s="616"/>
      <c r="EB40" s="616"/>
      <c r="EC40" s="616"/>
      <c r="ED40" s="616"/>
      <c r="EE40" s="616"/>
      <c r="EF40" s="616"/>
      <c r="EG40" s="616"/>
      <c r="EH40" s="616"/>
      <c r="EI40" s="616"/>
      <c r="EJ40" s="616"/>
      <c r="EK40" s="616"/>
      <c r="EL40" s="616"/>
      <c r="EM40" s="616"/>
      <c r="EN40" s="616"/>
      <c r="EO40" s="616"/>
      <c r="EP40" s="616"/>
      <c r="EQ40" s="616"/>
      <c r="ER40" s="616"/>
      <c r="ES40" s="616"/>
      <c r="ET40" s="616"/>
      <c r="EU40" s="616"/>
      <c r="EV40" s="616"/>
      <c r="EW40" s="616"/>
      <c r="EX40" s="616"/>
      <c r="EY40" s="616"/>
      <c r="EZ40" s="616"/>
      <c r="FA40" s="616"/>
      <c r="FB40" s="616"/>
      <c r="FC40" s="616"/>
      <c r="FD40" s="616"/>
      <c r="FE40" s="616"/>
      <c r="FF40" s="616"/>
      <c r="FG40" s="616"/>
      <c r="FH40" s="616"/>
      <c r="FI40" s="616"/>
      <c r="FJ40" s="616"/>
      <c r="FK40" s="616"/>
      <c r="FL40" s="616"/>
      <c r="FM40" s="616"/>
      <c r="FN40" s="616"/>
      <c r="FO40" s="616"/>
      <c r="FP40" s="616"/>
      <c r="FQ40" s="616"/>
      <c r="FR40" s="616"/>
      <c r="FS40" s="616"/>
      <c r="FT40" s="616"/>
      <c r="FU40" s="616"/>
      <c r="FV40" s="616"/>
      <c r="FW40" s="616"/>
      <c r="FX40" s="616"/>
      <c r="FY40" s="616"/>
      <c r="FZ40" s="616"/>
      <c r="GA40" s="616"/>
      <c r="GB40" s="616"/>
      <c r="GC40" s="616"/>
      <c r="GD40" s="616"/>
      <c r="GE40" s="616"/>
      <c r="GF40" s="616"/>
      <c r="GG40" s="616"/>
      <c r="GH40" s="616"/>
      <c r="GI40" s="616"/>
      <c r="GJ40" s="616"/>
      <c r="GK40" s="616"/>
      <c r="GL40" s="616"/>
      <c r="GM40" s="616"/>
      <c r="GN40" s="616"/>
      <c r="GO40" s="616"/>
      <c r="GP40" s="616"/>
      <c r="GQ40" s="616"/>
      <c r="GR40" s="616"/>
      <c r="GS40" s="616"/>
      <c r="GT40" s="616"/>
      <c r="GU40" s="616"/>
      <c r="GV40" s="616"/>
      <c r="GW40" s="616"/>
      <c r="GX40" s="616"/>
      <c r="GY40" s="616"/>
      <c r="GZ40" s="616"/>
      <c r="HA40" s="616"/>
      <c r="HB40" s="616"/>
      <c r="HC40" s="616"/>
      <c r="HD40" s="616"/>
      <c r="HE40" s="616"/>
      <c r="HF40" s="616"/>
      <c r="HG40" s="616"/>
      <c r="HH40" s="616"/>
      <c r="HI40" s="616"/>
      <c r="HJ40" s="616"/>
      <c r="HK40" s="616"/>
      <c r="HL40" s="616"/>
      <c r="HM40" s="616"/>
      <c r="HN40" s="616"/>
      <c r="HO40" s="616"/>
      <c r="HP40" s="616"/>
      <c r="HQ40" s="616"/>
      <c r="HR40" s="616"/>
      <c r="HS40" s="616"/>
      <c r="HT40" s="616"/>
      <c r="HU40" s="616"/>
      <c r="HV40" s="616"/>
      <c r="HW40" s="616"/>
      <c r="HX40" s="616"/>
      <c r="HY40" s="616"/>
      <c r="HZ40" s="616"/>
      <c r="IA40" s="616"/>
      <c r="IB40" s="616"/>
      <c r="IC40" s="616"/>
      <c r="ID40" s="616"/>
      <c r="IE40" s="616"/>
      <c r="IF40" s="616"/>
      <c r="IG40" s="616"/>
      <c r="IH40" s="616"/>
      <c r="II40" s="616"/>
      <c r="IJ40" s="616"/>
      <c r="IK40" s="616"/>
      <c r="IL40" s="616"/>
      <c r="IM40" s="616"/>
      <c r="IN40" s="616"/>
      <c r="IO40" s="616"/>
      <c r="IP40" s="616"/>
      <c r="IQ40" s="616"/>
      <c r="IR40" s="616"/>
      <c r="IS40" s="616"/>
      <c r="IT40" s="616"/>
      <c r="IU40" s="616"/>
      <c r="IV40" s="616"/>
    </row>
    <row r="41" spans="1:256">
      <c r="A41" s="622"/>
      <c r="B41" s="622"/>
      <c r="C41" s="622"/>
      <c r="D41" s="622"/>
      <c r="E41" s="618"/>
      <c r="F41" s="618"/>
      <c r="G41" s="618"/>
      <c r="H41" s="618"/>
      <c r="I41" s="618"/>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c r="AH41" s="616"/>
      <c r="AI41" s="616"/>
      <c r="AJ41" s="616"/>
      <c r="AK41" s="616"/>
      <c r="AL41" s="616"/>
      <c r="AM41" s="616"/>
      <c r="AN41" s="616"/>
      <c r="AO41" s="616"/>
      <c r="AP41" s="616"/>
      <c r="AQ41" s="616"/>
      <c r="AR41" s="616"/>
      <c r="AS41" s="616"/>
      <c r="AT41" s="616"/>
      <c r="AU41" s="616"/>
      <c r="AV41" s="616"/>
      <c r="AW41" s="616"/>
      <c r="AX41" s="616"/>
      <c r="AY41" s="616"/>
      <c r="AZ41" s="616"/>
      <c r="BA41" s="616"/>
      <c r="BB41" s="616"/>
      <c r="BC41" s="616"/>
      <c r="BD41" s="616"/>
      <c r="BE41" s="616"/>
      <c r="BF41" s="616"/>
      <c r="BG41" s="616"/>
      <c r="BH41" s="616"/>
      <c r="BI41" s="616"/>
      <c r="BJ41" s="616"/>
      <c r="BK41" s="616"/>
      <c r="BL41" s="616"/>
      <c r="BM41" s="616"/>
      <c r="BN41" s="616"/>
      <c r="BO41" s="616"/>
      <c r="BP41" s="616"/>
      <c r="BQ41" s="616"/>
      <c r="BR41" s="616"/>
      <c r="BS41" s="616"/>
      <c r="BT41" s="616"/>
      <c r="BU41" s="616"/>
      <c r="BV41" s="616"/>
      <c r="BW41" s="616"/>
      <c r="BX41" s="616"/>
      <c r="BY41" s="616"/>
      <c r="BZ41" s="616"/>
      <c r="CA41" s="616"/>
      <c r="CB41" s="616"/>
      <c r="CC41" s="616"/>
      <c r="CD41" s="616"/>
      <c r="CE41" s="616"/>
      <c r="CF41" s="616"/>
      <c r="CG41" s="616"/>
      <c r="CH41" s="616"/>
      <c r="CI41" s="616"/>
      <c r="CJ41" s="616"/>
      <c r="CK41" s="616"/>
      <c r="CL41" s="616"/>
      <c r="CM41" s="616"/>
      <c r="CN41" s="616"/>
      <c r="CO41" s="616"/>
      <c r="CP41" s="616"/>
      <c r="CQ41" s="616"/>
      <c r="CR41" s="616"/>
      <c r="CS41" s="616"/>
      <c r="CT41" s="616"/>
      <c r="CU41" s="616"/>
      <c r="CV41" s="616"/>
      <c r="CW41" s="616"/>
      <c r="CX41" s="616"/>
      <c r="CY41" s="616"/>
      <c r="CZ41" s="616"/>
      <c r="DA41" s="616"/>
      <c r="DB41" s="616"/>
      <c r="DC41" s="616"/>
      <c r="DD41" s="616"/>
      <c r="DE41" s="616"/>
      <c r="DF41" s="616"/>
      <c r="DG41" s="616"/>
      <c r="DH41" s="616"/>
      <c r="DI41" s="616"/>
      <c r="DJ41" s="616"/>
      <c r="DK41" s="616"/>
      <c r="DL41" s="616"/>
      <c r="DM41" s="616"/>
      <c r="DN41" s="616"/>
      <c r="DO41" s="616"/>
      <c r="DP41" s="616"/>
      <c r="DQ41" s="616"/>
      <c r="DR41" s="616"/>
      <c r="DS41" s="616"/>
      <c r="DT41" s="616"/>
      <c r="DU41" s="616"/>
      <c r="DV41" s="616"/>
      <c r="DW41" s="616"/>
      <c r="DX41" s="616"/>
      <c r="DY41" s="616"/>
      <c r="DZ41" s="616"/>
      <c r="EA41" s="616"/>
      <c r="EB41" s="616"/>
      <c r="EC41" s="616"/>
      <c r="ED41" s="616"/>
      <c r="EE41" s="616"/>
      <c r="EF41" s="616"/>
      <c r="EG41" s="616"/>
      <c r="EH41" s="616"/>
      <c r="EI41" s="616"/>
      <c r="EJ41" s="616"/>
      <c r="EK41" s="616"/>
      <c r="EL41" s="616"/>
      <c r="EM41" s="616"/>
      <c r="EN41" s="616"/>
      <c r="EO41" s="616"/>
      <c r="EP41" s="616"/>
      <c r="EQ41" s="616"/>
      <c r="ER41" s="616"/>
      <c r="ES41" s="616"/>
      <c r="ET41" s="616"/>
      <c r="EU41" s="616"/>
      <c r="EV41" s="616"/>
      <c r="EW41" s="616"/>
      <c r="EX41" s="616"/>
      <c r="EY41" s="616"/>
      <c r="EZ41" s="616"/>
      <c r="FA41" s="616"/>
      <c r="FB41" s="616"/>
      <c r="FC41" s="616"/>
      <c r="FD41" s="616"/>
      <c r="FE41" s="616"/>
      <c r="FF41" s="616"/>
      <c r="FG41" s="616"/>
      <c r="FH41" s="616"/>
      <c r="FI41" s="616"/>
      <c r="FJ41" s="616"/>
      <c r="FK41" s="616"/>
      <c r="FL41" s="616"/>
      <c r="FM41" s="616"/>
      <c r="FN41" s="616"/>
      <c r="FO41" s="616"/>
      <c r="FP41" s="616"/>
      <c r="FQ41" s="616"/>
      <c r="FR41" s="616"/>
      <c r="FS41" s="616"/>
      <c r="FT41" s="616"/>
      <c r="FU41" s="616"/>
      <c r="FV41" s="616"/>
      <c r="FW41" s="616"/>
      <c r="FX41" s="616"/>
      <c r="FY41" s="616"/>
      <c r="FZ41" s="616"/>
      <c r="GA41" s="616"/>
      <c r="GB41" s="616"/>
      <c r="GC41" s="616"/>
      <c r="GD41" s="616"/>
      <c r="GE41" s="616"/>
      <c r="GF41" s="616"/>
      <c r="GG41" s="616"/>
      <c r="GH41" s="616"/>
      <c r="GI41" s="616"/>
      <c r="GJ41" s="616"/>
      <c r="GK41" s="616"/>
      <c r="GL41" s="616"/>
      <c r="GM41" s="616"/>
      <c r="GN41" s="616"/>
      <c r="GO41" s="616"/>
      <c r="GP41" s="616"/>
      <c r="GQ41" s="616"/>
      <c r="GR41" s="616"/>
      <c r="GS41" s="616"/>
      <c r="GT41" s="616"/>
      <c r="GU41" s="616"/>
      <c r="GV41" s="616"/>
      <c r="GW41" s="616"/>
      <c r="GX41" s="616"/>
      <c r="GY41" s="616"/>
      <c r="GZ41" s="616"/>
      <c r="HA41" s="616"/>
      <c r="HB41" s="616"/>
      <c r="HC41" s="616"/>
      <c r="HD41" s="616"/>
      <c r="HE41" s="616"/>
      <c r="HF41" s="616"/>
      <c r="HG41" s="616"/>
      <c r="HH41" s="616"/>
      <c r="HI41" s="616"/>
      <c r="HJ41" s="616"/>
      <c r="HK41" s="616"/>
      <c r="HL41" s="616"/>
      <c r="HM41" s="616"/>
      <c r="HN41" s="616"/>
      <c r="HO41" s="616"/>
      <c r="HP41" s="616"/>
      <c r="HQ41" s="616"/>
      <c r="HR41" s="616"/>
      <c r="HS41" s="616"/>
      <c r="HT41" s="616"/>
      <c r="HU41" s="616"/>
      <c r="HV41" s="616"/>
      <c r="HW41" s="616"/>
      <c r="HX41" s="616"/>
      <c r="HY41" s="616"/>
      <c r="HZ41" s="616"/>
      <c r="IA41" s="616"/>
      <c r="IB41" s="616"/>
      <c r="IC41" s="616"/>
      <c r="ID41" s="616"/>
      <c r="IE41" s="616"/>
      <c r="IF41" s="616"/>
      <c r="IG41" s="616"/>
      <c r="IH41" s="616"/>
      <c r="II41" s="616"/>
      <c r="IJ41" s="616"/>
      <c r="IK41" s="616"/>
      <c r="IL41" s="616"/>
      <c r="IM41" s="616"/>
      <c r="IN41" s="616"/>
      <c r="IO41" s="616"/>
      <c r="IP41" s="616"/>
      <c r="IQ41" s="616"/>
      <c r="IR41" s="616"/>
      <c r="IS41" s="616"/>
      <c r="IT41" s="616"/>
      <c r="IU41" s="616"/>
      <c r="IV41" s="616"/>
    </row>
    <row r="42" spans="1:256" ht="15">
      <c r="A42" s="616"/>
      <c r="B42" s="625" t="s">
        <v>300</v>
      </c>
      <c r="C42" s="625" t="s">
        <v>301</v>
      </c>
      <c r="D42" s="625" t="s">
        <v>47</v>
      </c>
      <c r="E42" s="625" t="s">
        <v>303</v>
      </c>
      <c r="F42" s="625" t="s">
        <v>228</v>
      </c>
      <c r="G42" s="625" t="s">
        <v>229</v>
      </c>
      <c r="H42" s="625" t="s">
        <v>230</v>
      </c>
      <c r="I42" s="625" t="s">
        <v>235</v>
      </c>
      <c r="J42" s="616"/>
      <c r="K42" s="616"/>
      <c r="L42" s="616"/>
      <c r="M42" s="616"/>
      <c r="N42" s="616"/>
      <c r="O42" s="616"/>
      <c r="P42" s="616"/>
      <c r="Q42" s="616"/>
      <c r="R42" s="616"/>
      <c r="S42" s="616"/>
      <c r="T42" s="616"/>
      <c r="U42" s="616"/>
      <c r="V42" s="616"/>
      <c r="W42" s="616"/>
      <c r="X42" s="616"/>
      <c r="Y42" s="616"/>
      <c r="Z42" s="616"/>
      <c r="AA42" s="616"/>
      <c r="AB42" s="616"/>
      <c r="AC42" s="616"/>
      <c r="AD42" s="616"/>
      <c r="AE42" s="616"/>
      <c r="AF42" s="616"/>
      <c r="AG42" s="616"/>
      <c r="AH42" s="616"/>
      <c r="AI42" s="616"/>
      <c r="AJ42" s="616"/>
      <c r="AK42" s="616"/>
      <c r="AL42" s="616"/>
      <c r="AM42" s="616"/>
      <c r="AN42" s="616"/>
      <c r="AO42" s="616"/>
      <c r="AP42" s="616"/>
      <c r="AQ42" s="616"/>
      <c r="AR42" s="616"/>
      <c r="AS42" s="616"/>
      <c r="AT42" s="616"/>
      <c r="AU42" s="616"/>
      <c r="AV42" s="616"/>
      <c r="AW42" s="616"/>
      <c r="AX42" s="616"/>
      <c r="AY42" s="616"/>
      <c r="AZ42" s="616"/>
      <c r="BA42" s="616"/>
      <c r="BB42" s="616"/>
      <c r="BC42" s="616"/>
      <c r="BD42" s="616"/>
      <c r="BE42" s="616"/>
      <c r="BF42" s="616"/>
      <c r="BG42" s="616"/>
      <c r="BH42" s="616"/>
      <c r="BI42" s="616"/>
      <c r="BJ42" s="616"/>
      <c r="BK42" s="616"/>
      <c r="BL42" s="616"/>
      <c r="BM42" s="616"/>
      <c r="BN42" s="616"/>
      <c r="BO42" s="616"/>
      <c r="BP42" s="616"/>
      <c r="BQ42" s="616"/>
      <c r="BR42" s="616"/>
      <c r="BS42" s="616"/>
      <c r="BT42" s="616"/>
      <c r="BU42" s="616"/>
      <c r="BV42" s="616"/>
      <c r="BW42" s="616"/>
      <c r="BX42" s="616"/>
      <c r="BY42" s="616"/>
      <c r="BZ42" s="616"/>
      <c r="CA42" s="616"/>
      <c r="CB42" s="616"/>
      <c r="CC42" s="616"/>
      <c r="CD42" s="616"/>
      <c r="CE42" s="616"/>
      <c r="CF42" s="616"/>
      <c r="CG42" s="616"/>
      <c r="CH42" s="616"/>
      <c r="CI42" s="616"/>
      <c r="CJ42" s="616"/>
      <c r="CK42" s="616"/>
      <c r="CL42" s="616"/>
      <c r="CM42" s="616"/>
      <c r="CN42" s="616"/>
      <c r="CO42" s="616"/>
      <c r="CP42" s="616"/>
      <c r="CQ42" s="616"/>
      <c r="CR42" s="616"/>
      <c r="CS42" s="616"/>
      <c r="CT42" s="616"/>
      <c r="CU42" s="616"/>
      <c r="CV42" s="616"/>
      <c r="CW42" s="616"/>
      <c r="CX42" s="616"/>
      <c r="CY42" s="616"/>
      <c r="CZ42" s="616"/>
      <c r="DA42" s="616"/>
      <c r="DB42" s="616"/>
      <c r="DC42" s="616"/>
      <c r="DD42" s="616"/>
      <c r="DE42" s="616"/>
      <c r="DF42" s="616"/>
      <c r="DG42" s="616"/>
      <c r="DH42" s="616"/>
      <c r="DI42" s="616"/>
      <c r="DJ42" s="616"/>
      <c r="DK42" s="616"/>
      <c r="DL42" s="616"/>
      <c r="DM42" s="616"/>
      <c r="DN42" s="616"/>
      <c r="DO42" s="616"/>
      <c r="DP42" s="616"/>
      <c r="DQ42" s="616"/>
      <c r="DR42" s="616"/>
      <c r="DS42" s="616"/>
      <c r="DT42" s="616"/>
      <c r="DU42" s="616"/>
      <c r="DV42" s="616"/>
      <c r="DW42" s="616"/>
      <c r="DX42" s="616"/>
      <c r="DY42" s="616"/>
      <c r="DZ42" s="616"/>
      <c r="EA42" s="616"/>
      <c r="EB42" s="616"/>
      <c r="EC42" s="616"/>
      <c r="ED42" s="616"/>
      <c r="EE42" s="616"/>
      <c r="EF42" s="616"/>
      <c r="EG42" s="616"/>
      <c r="EH42" s="616"/>
      <c r="EI42" s="616"/>
      <c r="EJ42" s="616"/>
      <c r="EK42" s="616"/>
      <c r="EL42" s="616"/>
      <c r="EM42" s="616"/>
      <c r="EN42" s="616"/>
      <c r="EO42" s="616"/>
      <c r="EP42" s="616"/>
      <c r="EQ42" s="616"/>
      <c r="ER42" s="616"/>
      <c r="ES42" s="616"/>
      <c r="ET42" s="616"/>
      <c r="EU42" s="616"/>
      <c r="EV42" s="616"/>
      <c r="EW42" s="616"/>
      <c r="EX42" s="616"/>
      <c r="EY42" s="616"/>
      <c r="EZ42" s="616"/>
      <c r="FA42" s="616"/>
      <c r="FB42" s="616"/>
      <c r="FC42" s="616"/>
      <c r="FD42" s="616"/>
      <c r="FE42" s="616"/>
      <c r="FF42" s="616"/>
      <c r="FG42" s="616"/>
      <c r="FH42" s="616"/>
      <c r="FI42" s="616"/>
      <c r="FJ42" s="616"/>
      <c r="FK42" s="616"/>
      <c r="FL42" s="616"/>
      <c r="FM42" s="616"/>
      <c r="FN42" s="616"/>
      <c r="FO42" s="616"/>
      <c r="FP42" s="616"/>
      <c r="FQ42" s="616"/>
      <c r="FR42" s="616"/>
      <c r="FS42" s="616"/>
      <c r="FT42" s="616"/>
      <c r="FU42" s="616"/>
      <c r="FV42" s="616"/>
      <c r="FW42" s="616"/>
      <c r="FX42" s="616"/>
      <c r="FY42" s="616"/>
      <c r="FZ42" s="616"/>
      <c r="GA42" s="616"/>
      <c r="GB42" s="616"/>
      <c r="GC42" s="616"/>
      <c r="GD42" s="616"/>
      <c r="GE42" s="616"/>
      <c r="GF42" s="616"/>
      <c r="GG42" s="616"/>
      <c r="GH42" s="616"/>
      <c r="GI42" s="616"/>
      <c r="GJ42" s="616"/>
      <c r="GK42" s="616"/>
      <c r="GL42" s="616"/>
      <c r="GM42" s="616"/>
      <c r="GN42" s="616"/>
      <c r="GO42" s="616"/>
      <c r="GP42" s="616"/>
      <c r="GQ42" s="616"/>
      <c r="GR42" s="616"/>
      <c r="GS42" s="616"/>
      <c r="GT42" s="616"/>
      <c r="GU42" s="616"/>
      <c r="GV42" s="616"/>
      <c r="GW42" s="616"/>
      <c r="GX42" s="616"/>
      <c r="GY42" s="616"/>
      <c r="GZ42" s="616"/>
      <c r="HA42" s="616"/>
      <c r="HB42" s="616"/>
      <c r="HC42" s="616"/>
      <c r="HD42" s="616"/>
      <c r="HE42" s="616"/>
      <c r="HF42" s="616"/>
      <c r="HG42" s="616"/>
      <c r="HH42" s="616"/>
      <c r="HI42" s="616"/>
      <c r="HJ42" s="616"/>
      <c r="HK42" s="616"/>
      <c r="HL42" s="616"/>
      <c r="HM42" s="616"/>
      <c r="HN42" s="616"/>
      <c r="HO42" s="616"/>
      <c r="HP42" s="616"/>
      <c r="HQ42" s="616"/>
      <c r="HR42" s="616"/>
      <c r="HS42" s="616"/>
      <c r="HT42" s="616"/>
      <c r="HU42" s="616"/>
      <c r="HV42" s="616"/>
      <c r="HW42" s="616"/>
      <c r="HX42" s="616"/>
      <c r="HY42" s="616"/>
      <c r="HZ42" s="616"/>
      <c r="IA42" s="616"/>
      <c r="IB42" s="616"/>
      <c r="IC42" s="616"/>
      <c r="ID42" s="616"/>
      <c r="IE42" s="616"/>
      <c r="IF42" s="616"/>
      <c r="IG42" s="616"/>
      <c r="IH42" s="616"/>
      <c r="II42" s="616"/>
      <c r="IJ42" s="616"/>
      <c r="IK42" s="616"/>
      <c r="IL42" s="616"/>
      <c r="IM42" s="616"/>
      <c r="IN42" s="616"/>
      <c r="IO42" s="616"/>
      <c r="IP42" s="616"/>
      <c r="IQ42" s="616"/>
      <c r="IR42" s="616"/>
      <c r="IS42" s="616"/>
      <c r="IT42" s="616"/>
      <c r="IU42" s="616"/>
      <c r="IV42" s="616"/>
    </row>
    <row r="43" spans="1:256" ht="38.5">
      <c r="A43" s="626" t="s">
        <v>307</v>
      </c>
      <c r="B43" s="627" t="s">
        <v>509</v>
      </c>
      <c r="C43" s="627" t="s">
        <v>510</v>
      </c>
      <c r="D43" s="627" t="s">
        <v>518</v>
      </c>
      <c r="E43" s="627" t="s">
        <v>519</v>
      </c>
      <c r="F43" s="627" t="s">
        <v>520</v>
      </c>
      <c r="G43" s="627" t="s">
        <v>521</v>
      </c>
      <c r="H43" s="627" t="s">
        <v>511</v>
      </c>
      <c r="I43" s="627" t="s">
        <v>522</v>
      </c>
      <c r="J43" s="616"/>
      <c r="K43" s="628"/>
      <c r="L43" s="628"/>
      <c r="M43" s="628"/>
      <c r="N43" s="628"/>
      <c r="O43" s="628"/>
      <c r="P43" s="628"/>
      <c r="Q43" s="628"/>
      <c r="R43" s="628"/>
      <c r="S43" s="628"/>
      <c r="T43" s="628"/>
      <c r="U43" s="628"/>
      <c r="V43" s="628"/>
      <c r="W43" s="628"/>
      <c r="X43" s="628"/>
      <c r="Y43" s="628"/>
      <c r="Z43" s="628"/>
      <c r="AA43" s="628"/>
      <c r="AB43" s="628"/>
      <c r="AC43" s="628"/>
      <c r="AD43" s="628"/>
      <c r="AE43" s="628"/>
      <c r="AF43" s="628"/>
      <c r="AG43" s="628"/>
      <c r="AH43" s="628"/>
      <c r="AI43" s="628"/>
      <c r="AJ43" s="628"/>
      <c r="AK43" s="628"/>
      <c r="AL43" s="628"/>
      <c r="AM43" s="628"/>
      <c r="AN43" s="628"/>
      <c r="AO43" s="628"/>
      <c r="AP43" s="628"/>
      <c r="AQ43" s="628"/>
      <c r="AR43" s="628"/>
      <c r="AS43" s="628"/>
      <c r="AT43" s="628"/>
      <c r="AU43" s="628"/>
      <c r="AV43" s="628"/>
      <c r="AW43" s="628"/>
      <c r="AX43" s="628"/>
      <c r="AY43" s="628"/>
      <c r="AZ43" s="628"/>
      <c r="BA43" s="628"/>
      <c r="BB43" s="628"/>
      <c r="BC43" s="628"/>
      <c r="BD43" s="628"/>
      <c r="BE43" s="628"/>
      <c r="BF43" s="628"/>
      <c r="BG43" s="628"/>
      <c r="BH43" s="628"/>
      <c r="BI43" s="628"/>
      <c r="BJ43" s="628"/>
      <c r="BK43" s="628"/>
      <c r="BL43" s="628"/>
      <c r="BM43" s="628"/>
      <c r="BN43" s="628"/>
      <c r="BO43" s="628"/>
      <c r="BP43" s="628"/>
      <c r="BQ43" s="628"/>
      <c r="BR43" s="628"/>
      <c r="BS43" s="628"/>
      <c r="BT43" s="628"/>
      <c r="BU43" s="628"/>
      <c r="BV43" s="628"/>
      <c r="BW43" s="628"/>
      <c r="BX43" s="628"/>
      <c r="BY43" s="628"/>
      <c r="BZ43" s="628"/>
      <c r="CA43" s="628"/>
      <c r="CB43" s="628"/>
      <c r="CC43" s="628"/>
      <c r="CD43" s="628"/>
      <c r="CE43" s="628"/>
      <c r="CF43" s="628"/>
      <c r="CG43" s="628"/>
      <c r="CH43" s="628"/>
      <c r="CI43" s="628"/>
      <c r="CJ43" s="628"/>
      <c r="CK43" s="628"/>
      <c r="CL43" s="628"/>
      <c r="CM43" s="628"/>
      <c r="CN43" s="628"/>
      <c r="CO43" s="628"/>
      <c r="CP43" s="628"/>
      <c r="CQ43" s="628"/>
      <c r="CR43" s="628"/>
      <c r="CS43" s="628"/>
      <c r="CT43" s="628"/>
      <c r="CU43" s="628"/>
      <c r="CV43" s="628"/>
      <c r="CW43" s="628"/>
      <c r="CX43" s="628"/>
      <c r="CY43" s="628"/>
      <c r="CZ43" s="628"/>
      <c r="DA43" s="628"/>
      <c r="DB43" s="628"/>
      <c r="DC43" s="628"/>
      <c r="DD43" s="628"/>
      <c r="DE43" s="628"/>
      <c r="DF43" s="628"/>
      <c r="DG43" s="628"/>
      <c r="DH43" s="628"/>
      <c r="DI43" s="628"/>
      <c r="DJ43" s="628"/>
      <c r="DK43" s="628"/>
      <c r="DL43" s="628"/>
      <c r="DM43" s="628"/>
      <c r="DN43" s="628"/>
      <c r="DO43" s="628"/>
      <c r="DP43" s="628"/>
      <c r="DQ43" s="628"/>
      <c r="DR43" s="628"/>
      <c r="DS43" s="628"/>
      <c r="DT43" s="628"/>
      <c r="DU43" s="628"/>
      <c r="DV43" s="628"/>
      <c r="DW43" s="628"/>
      <c r="DX43" s="628"/>
      <c r="DY43" s="628"/>
      <c r="DZ43" s="628"/>
      <c r="EA43" s="628"/>
      <c r="EB43" s="628"/>
      <c r="EC43" s="628"/>
      <c r="ED43" s="628"/>
      <c r="EE43" s="628"/>
      <c r="EF43" s="628"/>
      <c r="EG43" s="628"/>
      <c r="EH43" s="628"/>
      <c r="EI43" s="628"/>
      <c r="EJ43" s="628"/>
      <c r="EK43" s="628"/>
      <c r="EL43" s="628"/>
      <c r="EM43" s="628"/>
      <c r="EN43" s="628"/>
      <c r="EO43" s="628"/>
      <c r="EP43" s="628"/>
      <c r="EQ43" s="628"/>
      <c r="ER43" s="628"/>
      <c r="ES43" s="628"/>
      <c r="ET43" s="628"/>
      <c r="EU43" s="628"/>
      <c r="EV43" s="628"/>
      <c r="EW43" s="628"/>
      <c r="EX43" s="628"/>
      <c r="EY43" s="628"/>
      <c r="EZ43" s="628"/>
      <c r="FA43" s="628"/>
      <c r="FB43" s="628"/>
      <c r="FC43" s="628"/>
      <c r="FD43" s="628"/>
      <c r="FE43" s="628"/>
      <c r="FF43" s="628"/>
      <c r="FG43" s="628"/>
      <c r="FH43" s="628"/>
      <c r="FI43" s="628"/>
      <c r="FJ43" s="628"/>
      <c r="FK43" s="628"/>
      <c r="FL43" s="628"/>
      <c r="FM43" s="628"/>
      <c r="FN43" s="628"/>
      <c r="FO43" s="628"/>
      <c r="FP43" s="628"/>
      <c r="FQ43" s="628"/>
      <c r="FR43" s="628"/>
      <c r="FS43" s="628"/>
      <c r="FT43" s="628"/>
      <c r="FU43" s="628"/>
      <c r="FV43" s="628"/>
      <c r="FW43" s="628"/>
      <c r="FX43" s="628"/>
      <c r="FY43" s="628"/>
      <c r="FZ43" s="628"/>
      <c r="GA43" s="628"/>
      <c r="GB43" s="628"/>
      <c r="GC43" s="628"/>
      <c r="GD43" s="628"/>
      <c r="GE43" s="628"/>
      <c r="GF43" s="628"/>
      <c r="GG43" s="628"/>
      <c r="GH43" s="628"/>
      <c r="GI43" s="628"/>
      <c r="GJ43" s="628"/>
      <c r="GK43" s="628"/>
      <c r="GL43" s="628"/>
      <c r="GM43" s="628"/>
      <c r="GN43" s="628"/>
      <c r="GO43" s="628"/>
      <c r="GP43" s="628"/>
      <c r="GQ43" s="628"/>
      <c r="GR43" s="628"/>
      <c r="GS43" s="628"/>
      <c r="GT43" s="628"/>
      <c r="GU43" s="628"/>
      <c r="GV43" s="628"/>
      <c r="GW43" s="628"/>
      <c r="GX43" s="628"/>
      <c r="GY43" s="628"/>
      <c r="GZ43" s="628"/>
      <c r="HA43" s="628"/>
      <c r="HB43" s="628"/>
      <c r="HC43" s="628"/>
      <c r="HD43" s="628"/>
      <c r="HE43" s="628"/>
      <c r="HF43" s="628"/>
      <c r="HG43" s="628"/>
      <c r="HH43" s="628"/>
      <c r="HI43" s="628"/>
      <c r="HJ43" s="628"/>
      <c r="HK43" s="628"/>
      <c r="HL43" s="628"/>
      <c r="HM43" s="628"/>
      <c r="HN43" s="628"/>
      <c r="HO43" s="628"/>
      <c r="HP43" s="628"/>
      <c r="HQ43" s="628"/>
      <c r="HR43" s="628"/>
      <c r="HS43" s="628"/>
      <c r="HT43" s="628"/>
      <c r="HU43" s="628"/>
      <c r="HV43" s="628"/>
      <c r="HW43" s="628"/>
      <c r="HX43" s="628"/>
      <c r="HY43" s="628"/>
      <c r="HZ43" s="628"/>
      <c r="IA43" s="628"/>
      <c r="IB43" s="628"/>
      <c r="IC43" s="628"/>
      <c r="ID43" s="628"/>
      <c r="IE43" s="628"/>
      <c r="IF43" s="628"/>
      <c r="IG43" s="628"/>
      <c r="IH43" s="628"/>
      <c r="II43" s="628"/>
      <c r="IJ43" s="628"/>
      <c r="IK43" s="628"/>
      <c r="IL43" s="628"/>
      <c r="IM43" s="628"/>
      <c r="IN43" s="628"/>
      <c r="IO43" s="628"/>
      <c r="IP43" s="628"/>
      <c r="IQ43" s="628"/>
      <c r="IR43" s="628"/>
      <c r="IS43" s="628"/>
      <c r="IT43" s="628"/>
      <c r="IU43" s="628"/>
      <c r="IV43" s="628"/>
    </row>
    <row r="44" spans="1:256">
      <c r="A44" s="620">
        <f>+A40+1</f>
        <v>24</v>
      </c>
      <c r="B44" s="617" t="s">
        <v>512</v>
      </c>
      <c r="C44" s="629">
        <f>+H38</f>
        <v>0</v>
      </c>
      <c r="D44" s="629">
        <f>C44</f>
        <v>0</v>
      </c>
      <c r="E44" s="617"/>
      <c r="F44" s="446">
        <v>365</v>
      </c>
      <c r="G44" s="630">
        <f>F44/$F$18</f>
        <v>1</v>
      </c>
      <c r="H44" s="629">
        <f>C44*G44</f>
        <v>0</v>
      </c>
      <c r="I44" s="629">
        <f>H44</f>
        <v>0</v>
      </c>
      <c r="J44" s="616"/>
      <c r="K44" s="616"/>
      <c r="L44" s="616"/>
      <c r="M44" s="616"/>
      <c r="N44" s="616"/>
      <c r="O44" s="616"/>
      <c r="P44" s="616"/>
      <c r="Q44" s="616"/>
      <c r="R44" s="616"/>
      <c r="S44" s="616"/>
      <c r="T44" s="616"/>
      <c r="U44" s="616"/>
      <c r="V44" s="616"/>
      <c r="W44" s="616"/>
      <c r="X44" s="616"/>
      <c r="Y44" s="616"/>
      <c r="Z44" s="616"/>
      <c r="AA44" s="616"/>
      <c r="AB44" s="616"/>
      <c r="AC44" s="616"/>
      <c r="AD44" s="616"/>
      <c r="AE44" s="616"/>
      <c r="AF44" s="616"/>
      <c r="AG44" s="616"/>
      <c r="AH44" s="616"/>
      <c r="AI44" s="616"/>
      <c r="AJ44" s="616"/>
      <c r="AK44" s="616"/>
      <c r="AL44" s="616"/>
      <c r="AM44" s="616"/>
      <c r="AN44" s="616"/>
      <c r="AO44" s="616"/>
      <c r="AP44" s="616"/>
      <c r="AQ44" s="616"/>
      <c r="AR44" s="616"/>
      <c r="AS44" s="616"/>
      <c r="AT44" s="616"/>
      <c r="AU44" s="616"/>
      <c r="AV44" s="616"/>
      <c r="AW44" s="616"/>
      <c r="AX44" s="616"/>
      <c r="AY44" s="616"/>
      <c r="AZ44" s="616"/>
      <c r="BA44" s="616"/>
      <c r="BB44" s="616"/>
      <c r="BC44" s="616"/>
      <c r="BD44" s="616"/>
      <c r="BE44" s="616"/>
      <c r="BF44" s="616"/>
      <c r="BG44" s="616"/>
      <c r="BH44" s="616"/>
      <c r="BI44" s="616"/>
      <c r="BJ44" s="616"/>
      <c r="BK44" s="616"/>
      <c r="BL44" s="616"/>
      <c r="BM44" s="616"/>
      <c r="BN44" s="616"/>
      <c r="BO44" s="616"/>
      <c r="BP44" s="616"/>
      <c r="BQ44" s="616"/>
      <c r="BR44" s="616"/>
      <c r="BS44" s="616"/>
      <c r="BT44" s="616"/>
      <c r="BU44" s="616"/>
      <c r="BV44" s="616"/>
      <c r="BW44" s="616"/>
      <c r="BX44" s="616"/>
      <c r="BY44" s="616"/>
      <c r="BZ44" s="616"/>
      <c r="CA44" s="616"/>
      <c r="CB44" s="616"/>
      <c r="CC44" s="616"/>
      <c r="CD44" s="616"/>
      <c r="CE44" s="616"/>
      <c r="CF44" s="616"/>
      <c r="CG44" s="616"/>
      <c r="CH44" s="616"/>
      <c r="CI44" s="616"/>
      <c r="CJ44" s="616"/>
      <c r="CK44" s="616"/>
      <c r="CL44" s="616"/>
      <c r="CM44" s="616"/>
      <c r="CN44" s="616"/>
      <c r="CO44" s="616"/>
      <c r="CP44" s="616"/>
      <c r="CQ44" s="616"/>
      <c r="CR44" s="616"/>
      <c r="CS44" s="616"/>
      <c r="CT44" s="616"/>
      <c r="CU44" s="616"/>
      <c r="CV44" s="616"/>
      <c r="CW44" s="616"/>
      <c r="CX44" s="616"/>
      <c r="CY44" s="616"/>
      <c r="CZ44" s="616"/>
      <c r="DA44" s="616"/>
      <c r="DB44" s="616"/>
      <c r="DC44" s="616"/>
      <c r="DD44" s="616"/>
      <c r="DE44" s="616"/>
      <c r="DF44" s="616"/>
      <c r="DG44" s="616"/>
      <c r="DH44" s="616"/>
      <c r="DI44" s="616"/>
      <c r="DJ44" s="616"/>
      <c r="DK44" s="616"/>
      <c r="DL44" s="616"/>
      <c r="DM44" s="616"/>
      <c r="DN44" s="616"/>
      <c r="DO44" s="616"/>
      <c r="DP44" s="616"/>
      <c r="DQ44" s="616"/>
      <c r="DR44" s="616"/>
      <c r="DS44" s="616"/>
      <c r="DT44" s="616"/>
      <c r="DU44" s="616"/>
      <c r="DV44" s="616"/>
      <c r="DW44" s="616"/>
      <c r="DX44" s="616"/>
      <c r="DY44" s="616"/>
      <c r="DZ44" s="616"/>
      <c r="EA44" s="616"/>
      <c r="EB44" s="616"/>
      <c r="EC44" s="616"/>
      <c r="ED44" s="616"/>
      <c r="EE44" s="616"/>
      <c r="EF44" s="616"/>
      <c r="EG44" s="616"/>
      <c r="EH44" s="616"/>
      <c r="EI44" s="616"/>
      <c r="EJ44" s="616"/>
      <c r="EK44" s="616"/>
      <c r="EL44" s="616"/>
      <c r="EM44" s="616"/>
      <c r="EN44" s="616"/>
      <c r="EO44" s="616"/>
      <c r="EP44" s="616"/>
      <c r="EQ44" s="616"/>
      <c r="ER44" s="616"/>
      <c r="ES44" s="616"/>
      <c r="ET44" s="616"/>
      <c r="EU44" s="616"/>
      <c r="EV44" s="616"/>
      <c r="EW44" s="616"/>
      <c r="EX44" s="616"/>
      <c r="EY44" s="616"/>
      <c r="EZ44" s="616"/>
      <c r="FA44" s="616"/>
      <c r="FB44" s="616"/>
      <c r="FC44" s="616"/>
      <c r="FD44" s="616"/>
      <c r="FE44" s="616"/>
      <c r="FF44" s="616"/>
      <c r="FG44" s="616"/>
      <c r="FH44" s="616"/>
      <c r="FI44" s="616"/>
      <c r="FJ44" s="616"/>
      <c r="FK44" s="616"/>
      <c r="FL44" s="616"/>
      <c r="FM44" s="616"/>
      <c r="FN44" s="616"/>
      <c r="FO44" s="616"/>
      <c r="FP44" s="616"/>
      <c r="FQ44" s="616"/>
      <c r="FR44" s="616"/>
      <c r="FS44" s="616"/>
      <c r="FT44" s="616"/>
      <c r="FU44" s="616"/>
      <c r="FV44" s="616"/>
      <c r="FW44" s="616"/>
      <c r="FX44" s="616"/>
      <c r="FY44" s="616"/>
      <c r="FZ44" s="616"/>
      <c r="GA44" s="616"/>
      <c r="GB44" s="616"/>
      <c r="GC44" s="616"/>
      <c r="GD44" s="616"/>
      <c r="GE44" s="616"/>
      <c r="GF44" s="616"/>
      <c r="GG44" s="616"/>
      <c r="GH44" s="616"/>
      <c r="GI44" s="616"/>
      <c r="GJ44" s="616"/>
      <c r="GK44" s="616"/>
      <c r="GL44" s="616"/>
      <c r="GM44" s="616"/>
      <c r="GN44" s="616"/>
      <c r="GO44" s="616"/>
      <c r="GP44" s="616"/>
      <c r="GQ44" s="616"/>
      <c r="GR44" s="616"/>
      <c r="GS44" s="616"/>
      <c r="GT44" s="616"/>
      <c r="GU44" s="616"/>
      <c r="GV44" s="616"/>
      <c r="GW44" s="616"/>
      <c r="GX44" s="616"/>
      <c r="GY44" s="616"/>
      <c r="GZ44" s="616"/>
      <c r="HA44" s="616"/>
      <c r="HB44" s="616"/>
      <c r="HC44" s="616"/>
      <c r="HD44" s="616"/>
      <c r="HE44" s="616"/>
      <c r="HF44" s="616"/>
      <c r="HG44" s="616"/>
      <c r="HH44" s="616"/>
      <c r="HI44" s="616"/>
      <c r="HJ44" s="616"/>
      <c r="HK44" s="616"/>
      <c r="HL44" s="616"/>
      <c r="HM44" s="616"/>
      <c r="HN44" s="616"/>
      <c r="HO44" s="616"/>
      <c r="HP44" s="616"/>
      <c r="HQ44" s="616"/>
      <c r="HR44" s="616"/>
      <c r="HS44" s="616"/>
      <c r="HT44" s="616"/>
      <c r="HU44" s="616"/>
      <c r="HV44" s="616"/>
      <c r="HW44" s="616"/>
      <c r="HX44" s="616"/>
      <c r="HY44" s="616"/>
      <c r="HZ44" s="616"/>
      <c r="IA44" s="616"/>
      <c r="IB44" s="616"/>
      <c r="IC44" s="616"/>
      <c r="ID44" s="616"/>
      <c r="IE44" s="616"/>
      <c r="IF44" s="616"/>
      <c r="IG44" s="616"/>
      <c r="IH44" s="616"/>
      <c r="II44" s="616"/>
      <c r="IJ44" s="616"/>
      <c r="IK44" s="616"/>
      <c r="IL44" s="616"/>
      <c r="IM44" s="616"/>
      <c r="IN44" s="616"/>
      <c r="IO44" s="616"/>
      <c r="IP44" s="616"/>
      <c r="IQ44" s="616"/>
      <c r="IR44" s="616"/>
      <c r="IS44" s="616"/>
      <c r="IT44" s="616"/>
      <c r="IU44" s="616"/>
      <c r="IV44" s="616"/>
    </row>
    <row r="45" spans="1:256">
      <c r="A45" s="620">
        <f>+A44+1</f>
        <v>25</v>
      </c>
      <c r="B45" s="617" t="s">
        <v>513</v>
      </c>
      <c r="C45" s="629">
        <f>+$H$40</f>
        <v>0</v>
      </c>
      <c r="D45" s="629">
        <f>D44+C45</f>
        <v>0</v>
      </c>
      <c r="E45" s="617">
        <v>31</v>
      </c>
      <c r="F45" s="446">
        <v>335</v>
      </c>
      <c r="G45" s="630">
        <f t="shared" ref="G45:G56" si="6">F45/$F$18</f>
        <v>0.9178082191780822</v>
      </c>
      <c r="H45" s="629">
        <f t="shared" ref="H45:H56" si="7">C45*G45</f>
        <v>0</v>
      </c>
      <c r="I45" s="629">
        <f t="shared" ref="I45:I50" si="8">I44+H45</f>
        <v>0</v>
      </c>
      <c r="J45" s="616"/>
      <c r="K45" s="616"/>
      <c r="L45" s="616"/>
      <c r="M45" s="616"/>
      <c r="N45" s="616"/>
      <c r="O45" s="616"/>
      <c r="P45" s="616"/>
      <c r="Q45" s="616"/>
      <c r="R45" s="616"/>
      <c r="S45" s="616"/>
      <c r="T45" s="616"/>
      <c r="U45" s="616"/>
      <c r="V45" s="616"/>
      <c r="W45" s="616"/>
      <c r="X45" s="616"/>
      <c r="Y45" s="616"/>
      <c r="Z45" s="616"/>
      <c r="AA45" s="616"/>
      <c r="AB45" s="616"/>
      <c r="AC45" s="616"/>
      <c r="AD45" s="616"/>
      <c r="AE45" s="616"/>
      <c r="AF45" s="616"/>
      <c r="AG45" s="616"/>
      <c r="AH45" s="616"/>
      <c r="AI45" s="616"/>
      <c r="AJ45" s="616"/>
      <c r="AK45" s="616"/>
      <c r="AL45" s="616"/>
      <c r="AM45" s="616"/>
      <c r="AN45" s="616"/>
      <c r="AO45" s="616"/>
      <c r="AP45" s="616"/>
      <c r="AQ45" s="616"/>
      <c r="AR45" s="616"/>
      <c r="AS45" s="616"/>
      <c r="AT45" s="616"/>
      <c r="AU45" s="616"/>
      <c r="AV45" s="616"/>
      <c r="AW45" s="616"/>
      <c r="AX45" s="616"/>
      <c r="AY45" s="616"/>
      <c r="AZ45" s="616"/>
      <c r="BA45" s="616"/>
      <c r="BB45" s="616"/>
      <c r="BC45" s="616"/>
      <c r="BD45" s="616"/>
      <c r="BE45" s="616"/>
      <c r="BF45" s="616"/>
      <c r="BG45" s="616"/>
      <c r="BH45" s="616"/>
      <c r="BI45" s="616"/>
      <c r="BJ45" s="616"/>
      <c r="BK45" s="616"/>
      <c r="BL45" s="616"/>
      <c r="BM45" s="616"/>
      <c r="BN45" s="616"/>
      <c r="BO45" s="616"/>
      <c r="BP45" s="616"/>
      <c r="BQ45" s="616"/>
      <c r="BR45" s="616"/>
      <c r="BS45" s="616"/>
      <c r="BT45" s="616"/>
      <c r="BU45" s="616"/>
      <c r="BV45" s="616"/>
      <c r="BW45" s="616"/>
      <c r="BX45" s="616"/>
      <c r="BY45" s="616"/>
      <c r="BZ45" s="616"/>
      <c r="CA45" s="616"/>
      <c r="CB45" s="616"/>
      <c r="CC45" s="616"/>
      <c r="CD45" s="616"/>
      <c r="CE45" s="616"/>
      <c r="CF45" s="616"/>
      <c r="CG45" s="616"/>
      <c r="CH45" s="616"/>
      <c r="CI45" s="616"/>
      <c r="CJ45" s="616"/>
      <c r="CK45" s="616"/>
      <c r="CL45" s="616"/>
      <c r="CM45" s="616"/>
      <c r="CN45" s="616"/>
      <c r="CO45" s="616"/>
      <c r="CP45" s="616"/>
      <c r="CQ45" s="616"/>
      <c r="CR45" s="616"/>
      <c r="CS45" s="616"/>
      <c r="CT45" s="616"/>
      <c r="CU45" s="616"/>
      <c r="CV45" s="616"/>
      <c r="CW45" s="616"/>
      <c r="CX45" s="616"/>
      <c r="CY45" s="616"/>
      <c r="CZ45" s="616"/>
      <c r="DA45" s="616"/>
      <c r="DB45" s="616"/>
      <c r="DC45" s="616"/>
      <c r="DD45" s="616"/>
      <c r="DE45" s="616"/>
      <c r="DF45" s="616"/>
      <c r="DG45" s="616"/>
      <c r="DH45" s="616"/>
      <c r="DI45" s="616"/>
      <c r="DJ45" s="616"/>
      <c r="DK45" s="616"/>
      <c r="DL45" s="616"/>
      <c r="DM45" s="616"/>
      <c r="DN45" s="616"/>
      <c r="DO45" s="616"/>
      <c r="DP45" s="616"/>
      <c r="DQ45" s="616"/>
      <c r="DR45" s="616"/>
      <c r="DS45" s="616"/>
      <c r="DT45" s="616"/>
      <c r="DU45" s="616"/>
      <c r="DV45" s="616"/>
      <c r="DW45" s="616"/>
      <c r="DX45" s="616"/>
      <c r="DY45" s="616"/>
      <c r="DZ45" s="616"/>
      <c r="EA45" s="616"/>
      <c r="EB45" s="616"/>
      <c r="EC45" s="616"/>
      <c r="ED45" s="616"/>
      <c r="EE45" s="616"/>
      <c r="EF45" s="616"/>
      <c r="EG45" s="616"/>
      <c r="EH45" s="616"/>
      <c r="EI45" s="616"/>
      <c r="EJ45" s="616"/>
      <c r="EK45" s="616"/>
      <c r="EL45" s="616"/>
      <c r="EM45" s="616"/>
      <c r="EN45" s="616"/>
      <c r="EO45" s="616"/>
      <c r="EP45" s="616"/>
      <c r="EQ45" s="616"/>
      <c r="ER45" s="616"/>
      <c r="ES45" s="616"/>
      <c r="ET45" s="616"/>
      <c r="EU45" s="616"/>
      <c r="EV45" s="616"/>
      <c r="EW45" s="616"/>
      <c r="EX45" s="616"/>
      <c r="EY45" s="616"/>
      <c r="EZ45" s="616"/>
      <c r="FA45" s="616"/>
      <c r="FB45" s="616"/>
      <c r="FC45" s="616"/>
      <c r="FD45" s="616"/>
      <c r="FE45" s="616"/>
      <c r="FF45" s="616"/>
      <c r="FG45" s="616"/>
      <c r="FH45" s="616"/>
      <c r="FI45" s="616"/>
      <c r="FJ45" s="616"/>
      <c r="FK45" s="616"/>
      <c r="FL45" s="616"/>
      <c r="FM45" s="616"/>
      <c r="FN45" s="616"/>
      <c r="FO45" s="616"/>
      <c r="FP45" s="616"/>
      <c r="FQ45" s="616"/>
      <c r="FR45" s="616"/>
      <c r="FS45" s="616"/>
      <c r="FT45" s="616"/>
      <c r="FU45" s="616"/>
      <c r="FV45" s="616"/>
      <c r="FW45" s="616"/>
      <c r="FX45" s="616"/>
      <c r="FY45" s="616"/>
      <c r="FZ45" s="616"/>
      <c r="GA45" s="616"/>
      <c r="GB45" s="616"/>
      <c r="GC45" s="616"/>
      <c r="GD45" s="616"/>
      <c r="GE45" s="616"/>
      <c r="GF45" s="616"/>
      <c r="GG45" s="616"/>
      <c r="GH45" s="616"/>
      <c r="GI45" s="616"/>
      <c r="GJ45" s="616"/>
      <c r="GK45" s="616"/>
      <c r="GL45" s="616"/>
      <c r="GM45" s="616"/>
      <c r="GN45" s="616"/>
      <c r="GO45" s="616"/>
      <c r="GP45" s="616"/>
      <c r="GQ45" s="616"/>
      <c r="GR45" s="616"/>
      <c r="GS45" s="616"/>
      <c r="GT45" s="616"/>
      <c r="GU45" s="616"/>
      <c r="GV45" s="616"/>
      <c r="GW45" s="616"/>
      <c r="GX45" s="616"/>
      <c r="GY45" s="616"/>
      <c r="GZ45" s="616"/>
      <c r="HA45" s="616"/>
      <c r="HB45" s="616"/>
      <c r="HC45" s="616"/>
      <c r="HD45" s="616"/>
      <c r="HE45" s="616"/>
      <c r="HF45" s="616"/>
      <c r="HG45" s="616"/>
      <c r="HH45" s="616"/>
      <c r="HI45" s="616"/>
      <c r="HJ45" s="616"/>
      <c r="HK45" s="616"/>
      <c r="HL45" s="616"/>
      <c r="HM45" s="616"/>
      <c r="HN45" s="616"/>
      <c r="HO45" s="616"/>
      <c r="HP45" s="616"/>
      <c r="HQ45" s="616"/>
      <c r="HR45" s="616"/>
      <c r="HS45" s="616"/>
      <c r="HT45" s="616"/>
      <c r="HU45" s="616"/>
      <c r="HV45" s="616"/>
      <c r="HW45" s="616"/>
      <c r="HX45" s="616"/>
      <c r="HY45" s="616"/>
      <c r="HZ45" s="616"/>
      <c r="IA45" s="616"/>
      <c r="IB45" s="616"/>
      <c r="IC45" s="616"/>
      <c r="ID45" s="616"/>
      <c r="IE45" s="616"/>
      <c r="IF45" s="616"/>
      <c r="IG45" s="616"/>
      <c r="IH45" s="616"/>
      <c r="II45" s="616"/>
      <c r="IJ45" s="616"/>
      <c r="IK45" s="616"/>
      <c r="IL45" s="616"/>
      <c r="IM45" s="616"/>
      <c r="IN45" s="616"/>
      <c r="IO45" s="616"/>
      <c r="IP45" s="616"/>
      <c r="IQ45" s="616"/>
      <c r="IR45" s="616"/>
      <c r="IS45" s="616"/>
      <c r="IT45" s="616"/>
      <c r="IU45" s="616"/>
      <c r="IV45" s="616"/>
    </row>
    <row r="46" spans="1:256">
      <c r="A46" s="620">
        <f t="shared" ref="A46:A56" si="9">+A45+1</f>
        <v>26</v>
      </c>
      <c r="B46" s="617" t="s">
        <v>514</v>
      </c>
      <c r="C46" s="629">
        <f t="shared" ref="C46:C56" si="10">+$H$40</f>
        <v>0</v>
      </c>
      <c r="D46" s="629">
        <f>D45+C46</f>
        <v>0</v>
      </c>
      <c r="E46" s="446">
        <v>28</v>
      </c>
      <c r="F46" s="446">
        <v>307</v>
      </c>
      <c r="G46" s="630">
        <f t="shared" si="6"/>
        <v>0.84109589041095889</v>
      </c>
      <c r="H46" s="629">
        <f t="shared" si="7"/>
        <v>0</v>
      </c>
      <c r="I46" s="629">
        <f t="shared" si="8"/>
        <v>0</v>
      </c>
      <c r="J46" s="616"/>
      <c r="K46" s="616"/>
      <c r="L46" s="616"/>
      <c r="M46" s="616"/>
      <c r="N46" s="616"/>
      <c r="O46" s="616"/>
      <c r="P46" s="616"/>
      <c r="Q46" s="616"/>
      <c r="R46" s="616"/>
      <c r="S46" s="616"/>
      <c r="T46" s="616"/>
      <c r="U46" s="616"/>
      <c r="V46" s="616"/>
      <c r="W46" s="616"/>
      <c r="X46" s="616"/>
      <c r="Y46" s="616"/>
      <c r="Z46" s="616"/>
      <c r="AA46" s="616"/>
      <c r="AB46" s="616"/>
      <c r="AC46" s="616"/>
      <c r="AD46" s="616"/>
      <c r="AE46" s="616"/>
      <c r="AF46" s="616"/>
      <c r="AG46" s="616"/>
      <c r="AH46" s="616"/>
      <c r="AI46" s="616"/>
      <c r="AJ46" s="616"/>
      <c r="AK46" s="616"/>
      <c r="AL46" s="616"/>
      <c r="AM46" s="616"/>
      <c r="AN46" s="616"/>
      <c r="AO46" s="616"/>
      <c r="AP46" s="616"/>
      <c r="AQ46" s="616"/>
      <c r="AR46" s="616"/>
      <c r="AS46" s="616"/>
      <c r="AT46" s="616"/>
      <c r="AU46" s="616"/>
      <c r="AV46" s="616"/>
      <c r="AW46" s="616"/>
      <c r="AX46" s="616"/>
      <c r="AY46" s="616"/>
      <c r="AZ46" s="616"/>
      <c r="BA46" s="616"/>
      <c r="BB46" s="616"/>
      <c r="BC46" s="616"/>
      <c r="BD46" s="616"/>
      <c r="BE46" s="616"/>
      <c r="BF46" s="616"/>
      <c r="BG46" s="616"/>
      <c r="BH46" s="616"/>
      <c r="BI46" s="616"/>
      <c r="BJ46" s="616"/>
      <c r="BK46" s="616"/>
      <c r="BL46" s="616"/>
      <c r="BM46" s="616"/>
      <c r="BN46" s="616"/>
      <c r="BO46" s="616"/>
      <c r="BP46" s="616"/>
      <c r="BQ46" s="616"/>
      <c r="BR46" s="616"/>
      <c r="BS46" s="616"/>
      <c r="BT46" s="616"/>
      <c r="BU46" s="616"/>
      <c r="BV46" s="616"/>
      <c r="BW46" s="616"/>
      <c r="BX46" s="616"/>
      <c r="BY46" s="616"/>
      <c r="BZ46" s="616"/>
      <c r="CA46" s="616"/>
      <c r="CB46" s="616"/>
      <c r="CC46" s="616"/>
      <c r="CD46" s="616"/>
      <c r="CE46" s="616"/>
      <c r="CF46" s="616"/>
      <c r="CG46" s="616"/>
      <c r="CH46" s="616"/>
      <c r="CI46" s="616"/>
      <c r="CJ46" s="616"/>
      <c r="CK46" s="616"/>
      <c r="CL46" s="616"/>
      <c r="CM46" s="616"/>
      <c r="CN46" s="616"/>
      <c r="CO46" s="616"/>
      <c r="CP46" s="616"/>
      <c r="CQ46" s="616"/>
      <c r="CR46" s="616"/>
      <c r="CS46" s="616"/>
      <c r="CT46" s="616"/>
      <c r="CU46" s="616"/>
      <c r="CV46" s="616"/>
      <c r="CW46" s="616"/>
      <c r="CX46" s="616"/>
      <c r="CY46" s="616"/>
      <c r="CZ46" s="616"/>
      <c r="DA46" s="616"/>
      <c r="DB46" s="616"/>
      <c r="DC46" s="616"/>
      <c r="DD46" s="616"/>
      <c r="DE46" s="616"/>
      <c r="DF46" s="616"/>
      <c r="DG46" s="616"/>
      <c r="DH46" s="616"/>
      <c r="DI46" s="616"/>
      <c r="DJ46" s="616"/>
      <c r="DK46" s="616"/>
      <c r="DL46" s="616"/>
      <c r="DM46" s="616"/>
      <c r="DN46" s="616"/>
      <c r="DO46" s="616"/>
      <c r="DP46" s="616"/>
      <c r="DQ46" s="616"/>
      <c r="DR46" s="616"/>
      <c r="DS46" s="616"/>
      <c r="DT46" s="616"/>
      <c r="DU46" s="616"/>
      <c r="DV46" s="616"/>
      <c r="DW46" s="616"/>
      <c r="DX46" s="616"/>
      <c r="DY46" s="616"/>
      <c r="DZ46" s="616"/>
      <c r="EA46" s="616"/>
      <c r="EB46" s="616"/>
      <c r="EC46" s="616"/>
      <c r="ED46" s="616"/>
      <c r="EE46" s="616"/>
      <c r="EF46" s="616"/>
      <c r="EG46" s="616"/>
      <c r="EH46" s="616"/>
      <c r="EI46" s="616"/>
      <c r="EJ46" s="616"/>
      <c r="EK46" s="616"/>
      <c r="EL46" s="616"/>
      <c r="EM46" s="616"/>
      <c r="EN46" s="616"/>
      <c r="EO46" s="616"/>
      <c r="EP46" s="616"/>
      <c r="EQ46" s="616"/>
      <c r="ER46" s="616"/>
      <c r="ES46" s="616"/>
      <c r="ET46" s="616"/>
      <c r="EU46" s="616"/>
      <c r="EV46" s="616"/>
      <c r="EW46" s="616"/>
      <c r="EX46" s="616"/>
      <c r="EY46" s="616"/>
      <c r="EZ46" s="616"/>
      <c r="FA46" s="616"/>
      <c r="FB46" s="616"/>
      <c r="FC46" s="616"/>
      <c r="FD46" s="616"/>
      <c r="FE46" s="616"/>
      <c r="FF46" s="616"/>
      <c r="FG46" s="616"/>
      <c r="FH46" s="616"/>
      <c r="FI46" s="616"/>
      <c r="FJ46" s="616"/>
      <c r="FK46" s="616"/>
      <c r="FL46" s="616"/>
      <c r="FM46" s="616"/>
      <c r="FN46" s="616"/>
      <c r="FO46" s="616"/>
      <c r="FP46" s="616"/>
      <c r="FQ46" s="616"/>
      <c r="FR46" s="616"/>
      <c r="FS46" s="616"/>
      <c r="FT46" s="616"/>
      <c r="FU46" s="616"/>
      <c r="FV46" s="616"/>
      <c r="FW46" s="616"/>
      <c r="FX46" s="616"/>
      <c r="FY46" s="616"/>
      <c r="FZ46" s="616"/>
      <c r="GA46" s="616"/>
      <c r="GB46" s="616"/>
      <c r="GC46" s="616"/>
      <c r="GD46" s="616"/>
      <c r="GE46" s="616"/>
      <c r="GF46" s="616"/>
      <c r="GG46" s="616"/>
      <c r="GH46" s="616"/>
      <c r="GI46" s="616"/>
      <c r="GJ46" s="616"/>
      <c r="GK46" s="616"/>
      <c r="GL46" s="616"/>
      <c r="GM46" s="616"/>
      <c r="GN46" s="616"/>
      <c r="GO46" s="616"/>
      <c r="GP46" s="616"/>
      <c r="GQ46" s="616"/>
      <c r="GR46" s="616"/>
      <c r="GS46" s="616"/>
      <c r="GT46" s="616"/>
      <c r="GU46" s="616"/>
      <c r="GV46" s="616"/>
      <c r="GW46" s="616"/>
      <c r="GX46" s="616"/>
      <c r="GY46" s="616"/>
      <c r="GZ46" s="616"/>
      <c r="HA46" s="616"/>
      <c r="HB46" s="616"/>
      <c r="HC46" s="616"/>
      <c r="HD46" s="616"/>
      <c r="HE46" s="616"/>
      <c r="HF46" s="616"/>
      <c r="HG46" s="616"/>
      <c r="HH46" s="616"/>
      <c r="HI46" s="616"/>
      <c r="HJ46" s="616"/>
      <c r="HK46" s="616"/>
      <c r="HL46" s="616"/>
      <c r="HM46" s="616"/>
      <c r="HN46" s="616"/>
      <c r="HO46" s="616"/>
      <c r="HP46" s="616"/>
      <c r="HQ46" s="616"/>
      <c r="HR46" s="616"/>
      <c r="HS46" s="616"/>
      <c r="HT46" s="616"/>
      <c r="HU46" s="616"/>
      <c r="HV46" s="616"/>
      <c r="HW46" s="616"/>
      <c r="HX46" s="616"/>
      <c r="HY46" s="616"/>
      <c r="HZ46" s="616"/>
      <c r="IA46" s="616"/>
      <c r="IB46" s="616"/>
      <c r="IC46" s="616"/>
      <c r="ID46" s="616"/>
      <c r="IE46" s="616"/>
      <c r="IF46" s="616"/>
      <c r="IG46" s="616"/>
      <c r="IH46" s="616"/>
      <c r="II46" s="616"/>
      <c r="IJ46" s="616"/>
      <c r="IK46" s="616"/>
      <c r="IL46" s="616"/>
      <c r="IM46" s="616"/>
      <c r="IN46" s="616"/>
      <c r="IO46" s="616"/>
      <c r="IP46" s="616"/>
      <c r="IQ46" s="616"/>
      <c r="IR46" s="616"/>
      <c r="IS46" s="616"/>
      <c r="IT46" s="616"/>
      <c r="IU46" s="616"/>
      <c r="IV46" s="616"/>
    </row>
    <row r="47" spans="1:256">
      <c r="A47" s="620">
        <f t="shared" si="9"/>
        <v>27</v>
      </c>
      <c r="B47" s="617" t="s">
        <v>322</v>
      </c>
      <c r="C47" s="629">
        <f t="shared" si="10"/>
        <v>0</v>
      </c>
      <c r="D47" s="629">
        <f>D46+C47</f>
        <v>0</v>
      </c>
      <c r="E47" s="617">
        <v>31</v>
      </c>
      <c r="F47" s="446">
        <v>276</v>
      </c>
      <c r="G47" s="630">
        <f t="shared" si="6"/>
        <v>0.75616438356164384</v>
      </c>
      <c r="H47" s="629">
        <f t="shared" si="7"/>
        <v>0</v>
      </c>
      <c r="I47" s="629">
        <f t="shared" si="8"/>
        <v>0</v>
      </c>
      <c r="J47" s="616"/>
      <c r="K47" s="616"/>
      <c r="L47" s="616"/>
      <c r="M47" s="616"/>
      <c r="N47" s="616"/>
      <c r="O47" s="616"/>
      <c r="P47" s="616"/>
      <c r="Q47" s="616"/>
      <c r="R47" s="616"/>
      <c r="S47" s="616"/>
      <c r="T47" s="616"/>
      <c r="U47" s="616"/>
      <c r="V47" s="616"/>
      <c r="W47" s="616"/>
      <c r="X47" s="616"/>
      <c r="Y47" s="616"/>
      <c r="Z47" s="616"/>
      <c r="AA47" s="616"/>
      <c r="AB47" s="616"/>
      <c r="AC47" s="616"/>
      <c r="AD47" s="616"/>
      <c r="AE47" s="616"/>
      <c r="AF47" s="616"/>
      <c r="AG47" s="616"/>
      <c r="AH47" s="616"/>
      <c r="AI47" s="616"/>
      <c r="AJ47" s="616"/>
      <c r="AK47" s="616"/>
      <c r="AL47" s="616"/>
      <c r="AM47" s="616"/>
      <c r="AN47" s="616"/>
      <c r="AO47" s="616"/>
      <c r="AP47" s="616"/>
      <c r="AQ47" s="616"/>
      <c r="AR47" s="616"/>
      <c r="AS47" s="616"/>
      <c r="AT47" s="616"/>
      <c r="AU47" s="616"/>
      <c r="AV47" s="616"/>
      <c r="AW47" s="616"/>
      <c r="AX47" s="616"/>
      <c r="AY47" s="616"/>
      <c r="AZ47" s="616"/>
      <c r="BA47" s="616"/>
      <c r="BB47" s="616"/>
      <c r="BC47" s="616"/>
      <c r="BD47" s="616"/>
      <c r="BE47" s="616"/>
      <c r="BF47" s="616"/>
      <c r="BG47" s="616"/>
      <c r="BH47" s="616"/>
      <c r="BI47" s="616"/>
      <c r="BJ47" s="616"/>
      <c r="BK47" s="616"/>
      <c r="BL47" s="616"/>
      <c r="BM47" s="616"/>
      <c r="BN47" s="616"/>
      <c r="BO47" s="616"/>
      <c r="BP47" s="616"/>
      <c r="BQ47" s="616"/>
      <c r="BR47" s="616"/>
      <c r="BS47" s="616"/>
      <c r="BT47" s="616"/>
      <c r="BU47" s="616"/>
      <c r="BV47" s="616"/>
      <c r="BW47" s="616"/>
      <c r="BX47" s="616"/>
      <c r="BY47" s="616"/>
      <c r="BZ47" s="616"/>
      <c r="CA47" s="616"/>
      <c r="CB47" s="616"/>
      <c r="CC47" s="616"/>
      <c r="CD47" s="616"/>
      <c r="CE47" s="616"/>
      <c r="CF47" s="616"/>
      <c r="CG47" s="616"/>
      <c r="CH47" s="616"/>
      <c r="CI47" s="616"/>
      <c r="CJ47" s="616"/>
      <c r="CK47" s="616"/>
      <c r="CL47" s="616"/>
      <c r="CM47" s="616"/>
      <c r="CN47" s="616"/>
      <c r="CO47" s="616"/>
      <c r="CP47" s="616"/>
      <c r="CQ47" s="616"/>
      <c r="CR47" s="616"/>
      <c r="CS47" s="616"/>
      <c r="CT47" s="616"/>
      <c r="CU47" s="616"/>
      <c r="CV47" s="616"/>
      <c r="CW47" s="616"/>
      <c r="CX47" s="616"/>
      <c r="CY47" s="616"/>
      <c r="CZ47" s="616"/>
      <c r="DA47" s="616"/>
      <c r="DB47" s="616"/>
      <c r="DC47" s="616"/>
      <c r="DD47" s="616"/>
      <c r="DE47" s="616"/>
      <c r="DF47" s="616"/>
      <c r="DG47" s="616"/>
      <c r="DH47" s="616"/>
      <c r="DI47" s="616"/>
      <c r="DJ47" s="616"/>
      <c r="DK47" s="616"/>
      <c r="DL47" s="616"/>
      <c r="DM47" s="616"/>
      <c r="DN47" s="616"/>
      <c r="DO47" s="616"/>
      <c r="DP47" s="616"/>
      <c r="DQ47" s="616"/>
      <c r="DR47" s="616"/>
      <c r="DS47" s="616"/>
      <c r="DT47" s="616"/>
      <c r="DU47" s="616"/>
      <c r="DV47" s="616"/>
      <c r="DW47" s="616"/>
      <c r="DX47" s="616"/>
      <c r="DY47" s="616"/>
      <c r="DZ47" s="616"/>
      <c r="EA47" s="616"/>
      <c r="EB47" s="616"/>
      <c r="EC47" s="616"/>
      <c r="ED47" s="616"/>
      <c r="EE47" s="616"/>
      <c r="EF47" s="616"/>
      <c r="EG47" s="616"/>
      <c r="EH47" s="616"/>
      <c r="EI47" s="616"/>
      <c r="EJ47" s="616"/>
      <c r="EK47" s="616"/>
      <c r="EL47" s="616"/>
      <c r="EM47" s="616"/>
      <c r="EN47" s="616"/>
      <c r="EO47" s="616"/>
      <c r="EP47" s="616"/>
      <c r="EQ47" s="616"/>
      <c r="ER47" s="616"/>
      <c r="ES47" s="616"/>
      <c r="ET47" s="616"/>
      <c r="EU47" s="616"/>
      <c r="EV47" s="616"/>
      <c r="EW47" s="616"/>
      <c r="EX47" s="616"/>
      <c r="EY47" s="616"/>
      <c r="EZ47" s="616"/>
      <c r="FA47" s="616"/>
      <c r="FB47" s="616"/>
      <c r="FC47" s="616"/>
      <c r="FD47" s="616"/>
      <c r="FE47" s="616"/>
      <c r="FF47" s="616"/>
      <c r="FG47" s="616"/>
      <c r="FH47" s="616"/>
      <c r="FI47" s="616"/>
      <c r="FJ47" s="616"/>
      <c r="FK47" s="616"/>
      <c r="FL47" s="616"/>
      <c r="FM47" s="616"/>
      <c r="FN47" s="616"/>
      <c r="FO47" s="616"/>
      <c r="FP47" s="616"/>
      <c r="FQ47" s="616"/>
      <c r="FR47" s="616"/>
      <c r="FS47" s="616"/>
      <c r="FT47" s="616"/>
      <c r="FU47" s="616"/>
      <c r="FV47" s="616"/>
      <c r="FW47" s="616"/>
      <c r="FX47" s="616"/>
      <c r="FY47" s="616"/>
      <c r="FZ47" s="616"/>
      <c r="GA47" s="616"/>
      <c r="GB47" s="616"/>
      <c r="GC47" s="616"/>
      <c r="GD47" s="616"/>
      <c r="GE47" s="616"/>
      <c r="GF47" s="616"/>
      <c r="GG47" s="616"/>
      <c r="GH47" s="616"/>
      <c r="GI47" s="616"/>
      <c r="GJ47" s="616"/>
      <c r="GK47" s="616"/>
      <c r="GL47" s="616"/>
      <c r="GM47" s="616"/>
      <c r="GN47" s="616"/>
      <c r="GO47" s="616"/>
      <c r="GP47" s="616"/>
      <c r="GQ47" s="616"/>
      <c r="GR47" s="616"/>
      <c r="GS47" s="616"/>
      <c r="GT47" s="616"/>
      <c r="GU47" s="616"/>
      <c r="GV47" s="616"/>
      <c r="GW47" s="616"/>
      <c r="GX47" s="616"/>
      <c r="GY47" s="616"/>
      <c r="GZ47" s="616"/>
      <c r="HA47" s="616"/>
      <c r="HB47" s="616"/>
      <c r="HC47" s="616"/>
      <c r="HD47" s="616"/>
      <c r="HE47" s="616"/>
      <c r="HF47" s="616"/>
      <c r="HG47" s="616"/>
      <c r="HH47" s="616"/>
      <c r="HI47" s="616"/>
      <c r="HJ47" s="616"/>
      <c r="HK47" s="616"/>
      <c r="HL47" s="616"/>
      <c r="HM47" s="616"/>
      <c r="HN47" s="616"/>
      <c r="HO47" s="616"/>
      <c r="HP47" s="616"/>
      <c r="HQ47" s="616"/>
      <c r="HR47" s="616"/>
      <c r="HS47" s="616"/>
      <c r="HT47" s="616"/>
      <c r="HU47" s="616"/>
      <c r="HV47" s="616"/>
      <c r="HW47" s="616"/>
      <c r="HX47" s="616"/>
      <c r="HY47" s="616"/>
      <c r="HZ47" s="616"/>
      <c r="IA47" s="616"/>
      <c r="IB47" s="616"/>
      <c r="IC47" s="616"/>
      <c r="ID47" s="616"/>
      <c r="IE47" s="616"/>
      <c r="IF47" s="616"/>
      <c r="IG47" s="616"/>
      <c r="IH47" s="616"/>
      <c r="II47" s="616"/>
      <c r="IJ47" s="616"/>
      <c r="IK47" s="616"/>
      <c r="IL47" s="616"/>
      <c r="IM47" s="616"/>
      <c r="IN47" s="616"/>
      <c r="IO47" s="616"/>
      <c r="IP47" s="616"/>
      <c r="IQ47" s="616"/>
      <c r="IR47" s="616"/>
      <c r="IS47" s="616"/>
      <c r="IT47" s="616"/>
      <c r="IU47" s="616"/>
      <c r="IV47" s="616"/>
    </row>
    <row r="48" spans="1:256">
      <c r="A48" s="620">
        <f t="shared" si="9"/>
        <v>28</v>
      </c>
      <c r="B48" s="617" t="s">
        <v>323</v>
      </c>
      <c r="C48" s="629">
        <f t="shared" si="10"/>
        <v>0</v>
      </c>
      <c r="D48" s="629">
        <f t="shared" ref="D48:D56" si="11">D47+C48</f>
        <v>0</v>
      </c>
      <c r="E48" s="617">
        <v>30</v>
      </c>
      <c r="F48" s="446">
        <v>246</v>
      </c>
      <c r="G48" s="630">
        <f t="shared" si="6"/>
        <v>0.67397260273972603</v>
      </c>
      <c r="H48" s="629">
        <f t="shared" si="7"/>
        <v>0</v>
      </c>
      <c r="I48" s="629">
        <f t="shared" si="8"/>
        <v>0</v>
      </c>
      <c r="J48" s="616"/>
      <c r="K48" s="616"/>
      <c r="L48" s="616"/>
      <c r="M48" s="616"/>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616"/>
      <c r="AL48" s="616"/>
      <c r="AM48" s="616"/>
      <c r="AN48" s="616"/>
      <c r="AO48" s="616"/>
      <c r="AP48" s="616"/>
      <c r="AQ48" s="616"/>
      <c r="AR48" s="616"/>
      <c r="AS48" s="616"/>
      <c r="AT48" s="616"/>
      <c r="AU48" s="616"/>
      <c r="AV48" s="616"/>
      <c r="AW48" s="616"/>
      <c r="AX48" s="616"/>
      <c r="AY48" s="616"/>
      <c r="AZ48" s="616"/>
      <c r="BA48" s="616"/>
      <c r="BB48" s="616"/>
      <c r="BC48" s="616"/>
      <c r="BD48" s="616"/>
      <c r="BE48" s="616"/>
      <c r="BF48" s="616"/>
      <c r="BG48" s="616"/>
      <c r="BH48" s="616"/>
      <c r="BI48" s="616"/>
      <c r="BJ48" s="616"/>
      <c r="BK48" s="616"/>
      <c r="BL48" s="616"/>
      <c r="BM48" s="616"/>
      <c r="BN48" s="616"/>
      <c r="BO48" s="616"/>
      <c r="BP48" s="616"/>
      <c r="BQ48" s="616"/>
      <c r="BR48" s="616"/>
      <c r="BS48" s="616"/>
      <c r="BT48" s="616"/>
      <c r="BU48" s="616"/>
      <c r="BV48" s="616"/>
      <c r="BW48" s="616"/>
      <c r="BX48" s="616"/>
      <c r="BY48" s="616"/>
      <c r="BZ48" s="616"/>
      <c r="CA48" s="616"/>
      <c r="CB48" s="616"/>
      <c r="CC48" s="616"/>
      <c r="CD48" s="616"/>
      <c r="CE48" s="616"/>
      <c r="CF48" s="616"/>
      <c r="CG48" s="616"/>
      <c r="CH48" s="616"/>
      <c r="CI48" s="616"/>
      <c r="CJ48" s="616"/>
      <c r="CK48" s="616"/>
      <c r="CL48" s="616"/>
      <c r="CM48" s="616"/>
      <c r="CN48" s="616"/>
      <c r="CO48" s="616"/>
      <c r="CP48" s="616"/>
      <c r="CQ48" s="616"/>
      <c r="CR48" s="616"/>
      <c r="CS48" s="616"/>
      <c r="CT48" s="616"/>
      <c r="CU48" s="616"/>
      <c r="CV48" s="616"/>
      <c r="CW48" s="616"/>
      <c r="CX48" s="616"/>
      <c r="CY48" s="616"/>
      <c r="CZ48" s="616"/>
      <c r="DA48" s="616"/>
      <c r="DB48" s="616"/>
      <c r="DC48" s="616"/>
      <c r="DD48" s="616"/>
      <c r="DE48" s="616"/>
      <c r="DF48" s="616"/>
      <c r="DG48" s="616"/>
      <c r="DH48" s="616"/>
      <c r="DI48" s="616"/>
      <c r="DJ48" s="616"/>
      <c r="DK48" s="616"/>
      <c r="DL48" s="616"/>
      <c r="DM48" s="616"/>
      <c r="DN48" s="616"/>
      <c r="DO48" s="616"/>
      <c r="DP48" s="616"/>
      <c r="DQ48" s="616"/>
      <c r="DR48" s="616"/>
      <c r="DS48" s="616"/>
      <c r="DT48" s="616"/>
      <c r="DU48" s="616"/>
      <c r="DV48" s="616"/>
      <c r="DW48" s="616"/>
      <c r="DX48" s="616"/>
      <c r="DY48" s="616"/>
      <c r="DZ48" s="616"/>
      <c r="EA48" s="616"/>
      <c r="EB48" s="616"/>
      <c r="EC48" s="616"/>
      <c r="ED48" s="616"/>
      <c r="EE48" s="616"/>
      <c r="EF48" s="616"/>
      <c r="EG48" s="616"/>
      <c r="EH48" s="616"/>
      <c r="EI48" s="616"/>
      <c r="EJ48" s="616"/>
      <c r="EK48" s="616"/>
      <c r="EL48" s="616"/>
      <c r="EM48" s="616"/>
      <c r="EN48" s="616"/>
      <c r="EO48" s="616"/>
      <c r="EP48" s="616"/>
      <c r="EQ48" s="616"/>
      <c r="ER48" s="616"/>
      <c r="ES48" s="616"/>
      <c r="ET48" s="616"/>
      <c r="EU48" s="616"/>
      <c r="EV48" s="616"/>
      <c r="EW48" s="616"/>
      <c r="EX48" s="616"/>
      <c r="EY48" s="616"/>
      <c r="EZ48" s="616"/>
      <c r="FA48" s="616"/>
      <c r="FB48" s="616"/>
      <c r="FC48" s="616"/>
      <c r="FD48" s="616"/>
      <c r="FE48" s="616"/>
      <c r="FF48" s="616"/>
      <c r="FG48" s="616"/>
      <c r="FH48" s="616"/>
      <c r="FI48" s="616"/>
      <c r="FJ48" s="616"/>
      <c r="FK48" s="616"/>
      <c r="FL48" s="616"/>
      <c r="FM48" s="616"/>
      <c r="FN48" s="616"/>
      <c r="FO48" s="616"/>
      <c r="FP48" s="616"/>
      <c r="FQ48" s="616"/>
      <c r="FR48" s="616"/>
      <c r="FS48" s="616"/>
      <c r="FT48" s="616"/>
      <c r="FU48" s="616"/>
      <c r="FV48" s="616"/>
      <c r="FW48" s="616"/>
      <c r="FX48" s="616"/>
      <c r="FY48" s="616"/>
      <c r="FZ48" s="616"/>
      <c r="GA48" s="616"/>
      <c r="GB48" s="616"/>
      <c r="GC48" s="616"/>
      <c r="GD48" s="616"/>
      <c r="GE48" s="616"/>
      <c r="GF48" s="616"/>
      <c r="GG48" s="616"/>
      <c r="GH48" s="616"/>
      <c r="GI48" s="616"/>
      <c r="GJ48" s="616"/>
      <c r="GK48" s="616"/>
      <c r="GL48" s="616"/>
      <c r="GM48" s="616"/>
      <c r="GN48" s="616"/>
      <c r="GO48" s="616"/>
      <c r="GP48" s="616"/>
      <c r="GQ48" s="616"/>
      <c r="GR48" s="616"/>
      <c r="GS48" s="616"/>
      <c r="GT48" s="616"/>
      <c r="GU48" s="616"/>
      <c r="GV48" s="616"/>
      <c r="GW48" s="616"/>
      <c r="GX48" s="616"/>
      <c r="GY48" s="616"/>
      <c r="GZ48" s="616"/>
      <c r="HA48" s="616"/>
      <c r="HB48" s="616"/>
      <c r="HC48" s="616"/>
      <c r="HD48" s="616"/>
      <c r="HE48" s="616"/>
      <c r="HF48" s="616"/>
      <c r="HG48" s="616"/>
      <c r="HH48" s="616"/>
      <c r="HI48" s="616"/>
      <c r="HJ48" s="616"/>
      <c r="HK48" s="616"/>
      <c r="HL48" s="616"/>
      <c r="HM48" s="616"/>
      <c r="HN48" s="616"/>
      <c r="HO48" s="616"/>
      <c r="HP48" s="616"/>
      <c r="HQ48" s="616"/>
      <c r="HR48" s="616"/>
      <c r="HS48" s="616"/>
      <c r="HT48" s="616"/>
      <c r="HU48" s="616"/>
      <c r="HV48" s="616"/>
      <c r="HW48" s="616"/>
      <c r="HX48" s="616"/>
      <c r="HY48" s="616"/>
      <c r="HZ48" s="616"/>
      <c r="IA48" s="616"/>
      <c r="IB48" s="616"/>
      <c r="IC48" s="616"/>
      <c r="ID48" s="616"/>
      <c r="IE48" s="616"/>
      <c r="IF48" s="616"/>
      <c r="IG48" s="616"/>
      <c r="IH48" s="616"/>
      <c r="II48" s="616"/>
      <c r="IJ48" s="616"/>
      <c r="IK48" s="616"/>
      <c r="IL48" s="616"/>
      <c r="IM48" s="616"/>
      <c r="IN48" s="616"/>
      <c r="IO48" s="616"/>
      <c r="IP48" s="616"/>
      <c r="IQ48" s="616"/>
      <c r="IR48" s="616"/>
      <c r="IS48" s="616"/>
      <c r="IT48" s="616"/>
      <c r="IU48" s="616"/>
      <c r="IV48" s="616"/>
    </row>
    <row r="49" spans="1:256">
      <c r="A49" s="620">
        <f t="shared" si="9"/>
        <v>29</v>
      </c>
      <c r="B49" s="617" t="s">
        <v>324</v>
      </c>
      <c r="C49" s="629">
        <f t="shared" si="10"/>
        <v>0</v>
      </c>
      <c r="D49" s="629">
        <f t="shared" si="11"/>
        <v>0</v>
      </c>
      <c r="E49" s="617">
        <v>31</v>
      </c>
      <c r="F49" s="446">
        <v>215</v>
      </c>
      <c r="G49" s="630">
        <f t="shared" si="6"/>
        <v>0.58904109589041098</v>
      </c>
      <c r="H49" s="629">
        <f t="shared" si="7"/>
        <v>0</v>
      </c>
      <c r="I49" s="629">
        <f t="shared" si="8"/>
        <v>0</v>
      </c>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6"/>
      <c r="AH49" s="616"/>
      <c r="AI49" s="616"/>
      <c r="AJ49" s="616"/>
      <c r="AK49" s="616"/>
      <c r="AL49" s="616"/>
      <c r="AM49" s="616"/>
      <c r="AN49" s="616"/>
      <c r="AO49" s="616"/>
      <c r="AP49" s="616"/>
      <c r="AQ49" s="616"/>
      <c r="AR49" s="616"/>
      <c r="AS49" s="616"/>
      <c r="AT49" s="616"/>
      <c r="AU49" s="616"/>
      <c r="AV49" s="616"/>
      <c r="AW49" s="616"/>
      <c r="AX49" s="616"/>
      <c r="AY49" s="616"/>
      <c r="AZ49" s="616"/>
      <c r="BA49" s="616"/>
      <c r="BB49" s="616"/>
      <c r="BC49" s="616"/>
      <c r="BD49" s="616"/>
      <c r="BE49" s="616"/>
      <c r="BF49" s="616"/>
      <c r="BG49" s="616"/>
      <c r="BH49" s="616"/>
      <c r="BI49" s="616"/>
      <c r="BJ49" s="616"/>
      <c r="BK49" s="616"/>
      <c r="BL49" s="616"/>
      <c r="BM49" s="616"/>
      <c r="BN49" s="616"/>
      <c r="BO49" s="616"/>
      <c r="BP49" s="616"/>
      <c r="BQ49" s="616"/>
      <c r="BR49" s="616"/>
      <c r="BS49" s="616"/>
      <c r="BT49" s="616"/>
      <c r="BU49" s="616"/>
      <c r="BV49" s="616"/>
      <c r="BW49" s="616"/>
      <c r="BX49" s="616"/>
      <c r="BY49" s="616"/>
      <c r="BZ49" s="616"/>
      <c r="CA49" s="616"/>
      <c r="CB49" s="616"/>
      <c r="CC49" s="616"/>
      <c r="CD49" s="616"/>
      <c r="CE49" s="616"/>
      <c r="CF49" s="616"/>
      <c r="CG49" s="616"/>
      <c r="CH49" s="616"/>
      <c r="CI49" s="616"/>
      <c r="CJ49" s="616"/>
      <c r="CK49" s="616"/>
      <c r="CL49" s="616"/>
      <c r="CM49" s="616"/>
      <c r="CN49" s="616"/>
      <c r="CO49" s="616"/>
      <c r="CP49" s="616"/>
      <c r="CQ49" s="616"/>
      <c r="CR49" s="616"/>
      <c r="CS49" s="616"/>
      <c r="CT49" s="616"/>
      <c r="CU49" s="616"/>
      <c r="CV49" s="616"/>
      <c r="CW49" s="616"/>
      <c r="CX49" s="616"/>
      <c r="CY49" s="616"/>
      <c r="CZ49" s="616"/>
      <c r="DA49" s="616"/>
      <c r="DB49" s="616"/>
      <c r="DC49" s="616"/>
      <c r="DD49" s="616"/>
      <c r="DE49" s="616"/>
      <c r="DF49" s="616"/>
      <c r="DG49" s="616"/>
      <c r="DH49" s="616"/>
      <c r="DI49" s="616"/>
      <c r="DJ49" s="616"/>
      <c r="DK49" s="616"/>
      <c r="DL49" s="616"/>
      <c r="DM49" s="616"/>
      <c r="DN49" s="616"/>
      <c r="DO49" s="616"/>
      <c r="DP49" s="616"/>
      <c r="DQ49" s="616"/>
      <c r="DR49" s="616"/>
      <c r="DS49" s="616"/>
      <c r="DT49" s="616"/>
      <c r="DU49" s="616"/>
      <c r="DV49" s="616"/>
      <c r="DW49" s="616"/>
      <c r="DX49" s="616"/>
      <c r="DY49" s="616"/>
      <c r="DZ49" s="616"/>
      <c r="EA49" s="616"/>
      <c r="EB49" s="616"/>
      <c r="EC49" s="616"/>
      <c r="ED49" s="616"/>
      <c r="EE49" s="616"/>
      <c r="EF49" s="616"/>
      <c r="EG49" s="616"/>
      <c r="EH49" s="616"/>
      <c r="EI49" s="616"/>
      <c r="EJ49" s="616"/>
      <c r="EK49" s="616"/>
      <c r="EL49" s="616"/>
      <c r="EM49" s="616"/>
      <c r="EN49" s="616"/>
      <c r="EO49" s="616"/>
      <c r="EP49" s="616"/>
      <c r="EQ49" s="616"/>
      <c r="ER49" s="616"/>
      <c r="ES49" s="616"/>
      <c r="ET49" s="616"/>
      <c r="EU49" s="616"/>
      <c r="EV49" s="616"/>
      <c r="EW49" s="616"/>
      <c r="EX49" s="616"/>
      <c r="EY49" s="616"/>
      <c r="EZ49" s="616"/>
      <c r="FA49" s="616"/>
      <c r="FB49" s="616"/>
      <c r="FC49" s="616"/>
      <c r="FD49" s="616"/>
      <c r="FE49" s="616"/>
      <c r="FF49" s="616"/>
      <c r="FG49" s="616"/>
      <c r="FH49" s="616"/>
      <c r="FI49" s="616"/>
      <c r="FJ49" s="616"/>
      <c r="FK49" s="616"/>
      <c r="FL49" s="616"/>
      <c r="FM49" s="616"/>
      <c r="FN49" s="616"/>
      <c r="FO49" s="616"/>
      <c r="FP49" s="616"/>
      <c r="FQ49" s="616"/>
      <c r="FR49" s="616"/>
      <c r="FS49" s="616"/>
      <c r="FT49" s="616"/>
      <c r="FU49" s="616"/>
      <c r="FV49" s="616"/>
      <c r="FW49" s="616"/>
      <c r="FX49" s="616"/>
      <c r="FY49" s="616"/>
      <c r="FZ49" s="616"/>
      <c r="GA49" s="616"/>
      <c r="GB49" s="616"/>
      <c r="GC49" s="616"/>
      <c r="GD49" s="616"/>
      <c r="GE49" s="616"/>
      <c r="GF49" s="616"/>
      <c r="GG49" s="616"/>
      <c r="GH49" s="616"/>
      <c r="GI49" s="616"/>
      <c r="GJ49" s="616"/>
      <c r="GK49" s="616"/>
      <c r="GL49" s="616"/>
      <c r="GM49" s="616"/>
      <c r="GN49" s="616"/>
      <c r="GO49" s="616"/>
      <c r="GP49" s="616"/>
      <c r="GQ49" s="616"/>
      <c r="GR49" s="616"/>
      <c r="GS49" s="616"/>
      <c r="GT49" s="616"/>
      <c r="GU49" s="616"/>
      <c r="GV49" s="616"/>
      <c r="GW49" s="616"/>
      <c r="GX49" s="616"/>
      <c r="GY49" s="616"/>
      <c r="GZ49" s="616"/>
      <c r="HA49" s="616"/>
      <c r="HB49" s="616"/>
      <c r="HC49" s="616"/>
      <c r="HD49" s="616"/>
      <c r="HE49" s="616"/>
      <c r="HF49" s="616"/>
      <c r="HG49" s="616"/>
      <c r="HH49" s="616"/>
      <c r="HI49" s="616"/>
      <c r="HJ49" s="616"/>
      <c r="HK49" s="616"/>
      <c r="HL49" s="616"/>
      <c r="HM49" s="616"/>
      <c r="HN49" s="616"/>
      <c r="HO49" s="616"/>
      <c r="HP49" s="616"/>
      <c r="HQ49" s="616"/>
      <c r="HR49" s="616"/>
      <c r="HS49" s="616"/>
      <c r="HT49" s="616"/>
      <c r="HU49" s="616"/>
      <c r="HV49" s="616"/>
      <c r="HW49" s="616"/>
      <c r="HX49" s="616"/>
      <c r="HY49" s="616"/>
      <c r="HZ49" s="616"/>
      <c r="IA49" s="616"/>
      <c r="IB49" s="616"/>
      <c r="IC49" s="616"/>
      <c r="ID49" s="616"/>
      <c r="IE49" s="616"/>
      <c r="IF49" s="616"/>
      <c r="IG49" s="616"/>
      <c r="IH49" s="616"/>
      <c r="II49" s="616"/>
      <c r="IJ49" s="616"/>
      <c r="IK49" s="616"/>
      <c r="IL49" s="616"/>
      <c r="IM49" s="616"/>
      <c r="IN49" s="616"/>
      <c r="IO49" s="616"/>
      <c r="IP49" s="616"/>
      <c r="IQ49" s="616"/>
      <c r="IR49" s="616"/>
      <c r="IS49" s="616"/>
      <c r="IT49" s="616"/>
      <c r="IU49" s="616"/>
      <c r="IV49" s="616"/>
    </row>
    <row r="50" spans="1:256">
      <c r="A50" s="620">
        <f t="shared" si="9"/>
        <v>30</v>
      </c>
      <c r="B50" s="617" t="s">
        <v>48</v>
      </c>
      <c r="C50" s="629">
        <f t="shared" si="10"/>
        <v>0</v>
      </c>
      <c r="D50" s="629">
        <f t="shared" si="11"/>
        <v>0</v>
      </c>
      <c r="E50" s="617">
        <v>30</v>
      </c>
      <c r="F50" s="446">
        <v>185</v>
      </c>
      <c r="G50" s="630">
        <f t="shared" si="6"/>
        <v>0.50684931506849318</v>
      </c>
      <c r="H50" s="629">
        <f t="shared" si="7"/>
        <v>0</v>
      </c>
      <c r="I50" s="629">
        <f t="shared" si="8"/>
        <v>0</v>
      </c>
      <c r="J50" s="616"/>
      <c r="K50" s="616"/>
      <c r="L50" s="616"/>
      <c r="M50" s="616"/>
      <c r="N50" s="616"/>
      <c r="O50" s="616"/>
      <c r="P50" s="616"/>
      <c r="Q50" s="616"/>
      <c r="R50" s="616"/>
      <c r="S50" s="616"/>
      <c r="T50" s="616"/>
      <c r="U50" s="616"/>
      <c r="V50" s="616"/>
      <c r="W50" s="616"/>
      <c r="X50" s="616"/>
      <c r="Y50" s="616"/>
      <c r="Z50" s="616"/>
      <c r="AA50" s="616"/>
      <c r="AB50" s="616"/>
      <c r="AC50" s="616"/>
      <c r="AD50" s="616"/>
      <c r="AE50" s="616"/>
      <c r="AF50" s="616"/>
      <c r="AG50" s="616"/>
      <c r="AH50" s="616"/>
      <c r="AI50" s="616"/>
      <c r="AJ50" s="616"/>
      <c r="AK50" s="616"/>
      <c r="AL50" s="616"/>
      <c r="AM50" s="616"/>
      <c r="AN50" s="616"/>
      <c r="AO50" s="616"/>
      <c r="AP50" s="616"/>
      <c r="AQ50" s="616"/>
      <c r="AR50" s="616"/>
      <c r="AS50" s="616"/>
      <c r="AT50" s="616"/>
      <c r="AU50" s="616"/>
      <c r="AV50" s="616"/>
      <c r="AW50" s="616"/>
      <c r="AX50" s="616"/>
      <c r="AY50" s="616"/>
      <c r="AZ50" s="616"/>
      <c r="BA50" s="616"/>
      <c r="BB50" s="616"/>
      <c r="BC50" s="616"/>
      <c r="BD50" s="616"/>
      <c r="BE50" s="616"/>
      <c r="BF50" s="616"/>
      <c r="BG50" s="616"/>
      <c r="BH50" s="616"/>
      <c r="BI50" s="616"/>
      <c r="BJ50" s="616"/>
      <c r="BK50" s="616"/>
      <c r="BL50" s="616"/>
      <c r="BM50" s="616"/>
      <c r="BN50" s="616"/>
      <c r="BO50" s="616"/>
      <c r="BP50" s="616"/>
      <c r="BQ50" s="616"/>
      <c r="BR50" s="616"/>
      <c r="BS50" s="616"/>
      <c r="BT50" s="616"/>
      <c r="BU50" s="616"/>
      <c r="BV50" s="616"/>
      <c r="BW50" s="616"/>
      <c r="BX50" s="616"/>
      <c r="BY50" s="616"/>
      <c r="BZ50" s="616"/>
      <c r="CA50" s="616"/>
      <c r="CB50" s="616"/>
      <c r="CC50" s="616"/>
      <c r="CD50" s="616"/>
      <c r="CE50" s="616"/>
      <c r="CF50" s="616"/>
      <c r="CG50" s="616"/>
      <c r="CH50" s="616"/>
      <c r="CI50" s="616"/>
      <c r="CJ50" s="616"/>
      <c r="CK50" s="616"/>
      <c r="CL50" s="616"/>
      <c r="CM50" s="616"/>
      <c r="CN50" s="616"/>
      <c r="CO50" s="616"/>
      <c r="CP50" s="616"/>
      <c r="CQ50" s="616"/>
      <c r="CR50" s="616"/>
      <c r="CS50" s="616"/>
      <c r="CT50" s="616"/>
      <c r="CU50" s="616"/>
      <c r="CV50" s="616"/>
      <c r="CW50" s="616"/>
      <c r="CX50" s="616"/>
      <c r="CY50" s="616"/>
      <c r="CZ50" s="616"/>
      <c r="DA50" s="616"/>
      <c r="DB50" s="616"/>
      <c r="DC50" s="616"/>
      <c r="DD50" s="616"/>
      <c r="DE50" s="616"/>
      <c r="DF50" s="616"/>
      <c r="DG50" s="616"/>
      <c r="DH50" s="616"/>
      <c r="DI50" s="616"/>
      <c r="DJ50" s="616"/>
      <c r="DK50" s="616"/>
      <c r="DL50" s="616"/>
      <c r="DM50" s="616"/>
      <c r="DN50" s="616"/>
      <c r="DO50" s="616"/>
      <c r="DP50" s="616"/>
      <c r="DQ50" s="616"/>
      <c r="DR50" s="616"/>
      <c r="DS50" s="616"/>
      <c r="DT50" s="616"/>
      <c r="DU50" s="616"/>
      <c r="DV50" s="616"/>
      <c r="DW50" s="616"/>
      <c r="DX50" s="616"/>
      <c r="DY50" s="616"/>
      <c r="DZ50" s="616"/>
      <c r="EA50" s="616"/>
      <c r="EB50" s="616"/>
      <c r="EC50" s="616"/>
      <c r="ED50" s="616"/>
      <c r="EE50" s="616"/>
      <c r="EF50" s="616"/>
      <c r="EG50" s="616"/>
      <c r="EH50" s="616"/>
      <c r="EI50" s="616"/>
      <c r="EJ50" s="616"/>
      <c r="EK50" s="616"/>
      <c r="EL50" s="616"/>
      <c r="EM50" s="616"/>
      <c r="EN50" s="616"/>
      <c r="EO50" s="616"/>
      <c r="EP50" s="616"/>
      <c r="EQ50" s="616"/>
      <c r="ER50" s="616"/>
      <c r="ES50" s="616"/>
      <c r="ET50" s="616"/>
      <c r="EU50" s="616"/>
      <c r="EV50" s="616"/>
      <c r="EW50" s="616"/>
      <c r="EX50" s="616"/>
      <c r="EY50" s="616"/>
      <c r="EZ50" s="616"/>
      <c r="FA50" s="616"/>
      <c r="FB50" s="616"/>
      <c r="FC50" s="616"/>
      <c r="FD50" s="616"/>
      <c r="FE50" s="616"/>
      <c r="FF50" s="616"/>
      <c r="FG50" s="616"/>
      <c r="FH50" s="616"/>
      <c r="FI50" s="616"/>
      <c r="FJ50" s="616"/>
      <c r="FK50" s="616"/>
      <c r="FL50" s="616"/>
      <c r="FM50" s="616"/>
      <c r="FN50" s="616"/>
      <c r="FO50" s="616"/>
      <c r="FP50" s="616"/>
      <c r="FQ50" s="616"/>
      <c r="FR50" s="616"/>
      <c r="FS50" s="616"/>
      <c r="FT50" s="616"/>
      <c r="FU50" s="616"/>
      <c r="FV50" s="616"/>
      <c r="FW50" s="616"/>
      <c r="FX50" s="616"/>
      <c r="FY50" s="616"/>
      <c r="FZ50" s="616"/>
      <c r="GA50" s="616"/>
      <c r="GB50" s="616"/>
      <c r="GC50" s="616"/>
      <c r="GD50" s="616"/>
      <c r="GE50" s="616"/>
      <c r="GF50" s="616"/>
      <c r="GG50" s="616"/>
      <c r="GH50" s="616"/>
      <c r="GI50" s="616"/>
      <c r="GJ50" s="616"/>
      <c r="GK50" s="616"/>
      <c r="GL50" s="616"/>
      <c r="GM50" s="616"/>
      <c r="GN50" s="616"/>
      <c r="GO50" s="616"/>
      <c r="GP50" s="616"/>
      <c r="GQ50" s="616"/>
      <c r="GR50" s="616"/>
      <c r="GS50" s="616"/>
      <c r="GT50" s="616"/>
      <c r="GU50" s="616"/>
      <c r="GV50" s="616"/>
      <c r="GW50" s="616"/>
      <c r="GX50" s="616"/>
      <c r="GY50" s="616"/>
      <c r="GZ50" s="616"/>
      <c r="HA50" s="616"/>
      <c r="HB50" s="616"/>
      <c r="HC50" s="616"/>
      <c r="HD50" s="616"/>
      <c r="HE50" s="616"/>
      <c r="HF50" s="616"/>
      <c r="HG50" s="616"/>
      <c r="HH50" s="616"/>
      <c r="HI50" s="616"/>
      <c r="HJ50" s="616"/>
      <c r="HK50" s="616"/>
      <c r="HL50" s="616"/>
      <c r="HM50" s="616"/>
      <c r="HN50" s="616"/>
      <c r="HO50" s="616"/>
      <c r="HP50" s="616"/>
      <c r="HQ50" s="616"/>
      <c r="HR50" s="616"/>
      <c r="HS50" s="616"/>
      <c r="HT50" s="616"/>
      <c r="HU50" s="616"/>
      <c r="HV50" s="616"/>
      <c r="HW50" s="616"/>
      <c r="HX50" s="616"/>
      <c r="HY50" s="616"/>
      <c r="HZ50" s="616"/>
      <c r="IA50" s="616"/>
      <c r="IB50" s="616"/>
      <c r="IC50" s="616"/>
      <c r="ID50" s="616"/>
      <c r="IE50" s="616"/>
      <c r="IF50" s="616"/>
      <c r="IG50" s="616"/>
      <c r="IH50" s="616"/>
      <c r="II50" s="616"/>
      <c r="IJ50" s="616"/>
      <c r="IK50" s="616"/>
      <c r="IL50" s="616"/>
      <c r="IM50" s="616"/>
      <c r="IN50" s="616"/>
      <c r="IO50" s="616"/>
      <c r="IP50" s="616"/>
      <c r="IQ50" s="616"/>
      <c r="IR50" s="616"/>
      <c r="IS50" s="616"/>
      <c r="IT50" s="616"/>
      <c r="IU50" s="616"/>
      <c r="IV50" s="616"/>
    </row>
    <row r="51" spans="1:256">
      <c r="A51" s="620">
        <f t="shared" si="9"/>
        <v>31</v>
      </c>
      <c r="B51" s="617" t="s">
        <v>325</v>
      </c>
      <c r="C51" s="629">
        <f t="shared" si="10"/>
        <v>0</v>
      </c>
      <c r="D51" s="629">
        <f t="shared" si="11"/>
        <v>0</v>
      </c>
      <c r="E51" s="617">
        <v>31</v>
      </c>
      <c r="F51" s="446">
        <v>154</v>
      </c>
      <c r="G51" s="630">
        <f t="shared" si="6"/>
        <v>0.42191780821917807</v>
      </c>
      <c r="H51" s="629">
        <f t="shared" si="7"/>
        <v>0</v>
      </c>
      <c r="I51" s="629">
        <f t="shared" ref="I51:I56" si="12">I50+H51</f>
        <v>0</v>
      </c>
      <c r="J51" s="616"/>
      <c r="K51" s="616"/>
      <c r="L51" s="616"/>
      <c r="M51" s="616"/>
      <c r="N51" s="616"/>
      <c r="O51" s="616"/>
      <c r="P51" s="616"/>
      <c r="Q51" s="616"/>
      <c r="R51" s="616"/>
      <c r="S51" s="616"/>
      <c r="T51" s="616"/>
      <c r="U51" s="616"/>
      <c r="V51" s="616"/>
      <c r="W51" s="616"/>
      <c r="X51" s="616"/>
      <c r="Y51" s="616"/>
      <c r="Z51" s="616"/>
      <c r="AA51" s="616"/>
      <c r="AB51" s="616"/>
      <c r="AC51" s="616"/>
      <c r="AD51" s="616"/>
      <c r="AE51" s="616"/>
      <c r="AF51" s="616"/>
      <c r="AG51" s="616"/>
      <c r="AH51" s="616"/>
      <c r="AI51" s="616"/>
      <c r="AJ51" s="616"/>
      <c r="AK51" s="616"/>
      <c r="AL51" s="616"/>
      <c r="AM51" s="616"/>
      <c r="AN51" s="616"/>
      <c r="AO51" s="616"/>
      <c r="AP51" s="616"/>
      <c r="AQ51" s="616"/>
      <c r="AR51" s="616"/>
      <c r="AS51" s="616"/>
      <c r="AT51" s="616"/>
      <c r="AU51" s="616"/>
      <c r="AV51" s="616"/>
      <c r="AW51" s="616"/>
      <c r="AX51" s="616"/>
      <c r="AY51" s="616"/>
      <c r="AZ51" s="616"/>
      <c r="BA51" s="616"/>
      <c r="BB51" s="616"/>
      <c r="BC51" s="616"/>
      <c r="BD51" s="616"/>
      <c r="BE51" s="616"/>
      <c r="BF51" s="616"/>
      <c r="BG51" s="616"/>
      <c r="BH51" s="616"/>
      <c r="BI51" s="616"/>
      <c r="BJ51" s="616"/>
      <c r="BK51" s="616"/>
      <c r="BL51" s="616"/>
      <c r="BM51" s="616"/>
      <c r="BN51" s="616"/>
      <c r="BO51" s="616"/>
      <c r="BP51" s="616"/>
      <c r="BQ51" s="616"/>
      <c r="BR51" s="616"/>
      <c r="BS51" s="616"/>
      <c r="BT51" s="616"/>
      <c r="BU51" s="616"/>
      <c r="BV51" s="616"/>
      <c r="BW51" s="616"/>
      <c r="BX51" s="616"/>
      <c r="BY51" s="616"/>
      <c r="BZ51" s="616"/>
      <c r="CA51" s="616"/>
      <c r="CB51" s="616"/>
      <c r="CC51" s="616"/>
      <c r="CD51" s="616"/>
      <c r="CE51" s="616"/>
      <c r="CF51" s="616"/>
      <c r="CG51" s="616"/>
      <c r="CH51" s="616"/>
      <c r="CI51" s="616"/>
      <c r="CJ51" s="616"/>
      <c r="CK51" s="616"/>
      <c r="CL51" s="616"/>
      <c r="CM51" s="616"/>
      <c r="CN51" s="616"/>
      <c r="CO51" s="616"/>
      <c r="CP51" s="616"/>
      <c r="CQ51" s="616"/>
      <c r="CR51" s="616"/>
      <c r="CS51" s="616"/>
      <c r="CT51" s="616"/>
      <c r="CU51" s="616"/>
      <c r="CV51" s="616"/>
      <c r="CW51" s="616"/>
      <c r="CX51" s="616"/>
      <c r="CY51" s="616"/>
      <c r="CZ51" s="616"/>
      <c r="DA51" s="616"/>
      <c r="DB51" s="616"/>
      <c r="DC51" s="616"/>
      <c r="DD51" s="616"/>
      <c r="DE51" s="616"/>
      <c r="DF51" s="616"/>
      <c r="DG51" s="616"/>
      <c r="DH51" s="616"/>
      <c r="DI51" s="616"/>
      <c r="DJ51" s="616"/>
      <c r="DK51" s="616"/>
      <c r="DL51" s="616"/>
      <c r="DM51" s="616"/>
      <c r="DN51" s="616"/>
      <c r="DO51" s="616"/>
      <c r="DP51" s="616"/>
      <c r="DQ51" s="616"/>
      <c r="DR51" s="616"/>
      <c r="DS51" s="616"/>
      <c r="DT51" s="616"/>
      <c r="DU51" s="616"/>
      <c r="DV51" s="616"/>
      <c r="DW51" s="616"/>
      <c r="DX51" s="616"/>
      <c r="DY51" s="616"/>
      <c r="DZ51" s="616"/>
      <c r="EA51" s="616"/>
      <c r="EB51" s="616"/>
      <c r="EC51" s="616"/>
      <c r="ED51" s="616"/>
      <c r="EE51" s="616"/>
      <c r="EF51" s="616"/>
      <c r="EG51" s="616"/>
      <c r="EH51" s="616"/>
      <c r="EI51" s="616"/>
      <c r="EJ51" s="616"/>
      <c r="EK51" s="616"/>
      <c r="EL51" s="616"/>
      <c r="EM51" s="616"/>
      <c r="EN51" s="616"/>
      <c r="EO51" s="616"/>
      <c r="EP51" s="616"/>
      <c r="EQ51" s="616"/>
      <c r="ER51" s="616"/>
      <c r="ES51" s="616"/>
      <c r="ET51" s="616"/>
      <c r="EU51" s="616"/>
      <c r="EV51" s="616"/>
      <c r="EW51" s="616"/>
      <c r="EX51" s="616"/>
      <c r="EY51" s="616"/>
      <c r="EZ51" s="616"/>
      <c r="FA51" s="616"/>
      <c r="FB51" s="616"/>
      <c r="FC51" s="616"/>
      <c r="FD51" s="616"/>
      <c r="FE51" s="616"/>
      <c r="FF51" s="616"/>
      <c r="FG51" s="616"/>
      <c r="FH51" s="616"/>
      <c r="FI51" s="616"/>
      <c r="FJ51" s="616"/>
      <c r="FK51" s="616"/>
      <c r="FL51" s="616"/>
      <c r="FM51" s="616"/>
      <c r="FN51" s="616"/>
      <c r="FO51" s="616"/>
      <c r="FP51" s="616"/>
      <c r="FQ51" s="616"/>
      <c r="FR51" s="616"/>
      <c r="FS51" s="616"/>
      <c r="FT51" s="616"/>
      <c r="FU51" s="616"/>
      <c r="FV51" s="616"/>
      <c r="FW51" s="616"/>
      <c r="FX51" s="616"/>
      <c r="FY51" s="616"/>
      <c r="FZ51" s="616"/>
      <c r="GA51" s="616"/>
      <c r="GB51" s="616"/>
      <c r="GC51" s="616"/>
      <c r="GD51" s="616"/>
      <c r="GE51" s="616"/>
      <c r="GF51" s="616"/>
      <c r="GG51" s="616"/>
      <c r="GH51" s="616"/>
      <c r="GI51" s="616"/>
      <c r="GJ51" s="616"/>
      <c r="GK51" s="616"/>
      <c r="GL51" s="616"/>
      <c r="GM51" s="616"/>
      <c r="GN51" s="616"/>
      <c r="GO51" s="616"/>
      <c r="GP51" s="616"/>
      <c r="GQ51" s="616"/>
      <c r="GR51" s="616"/>
      <c r="GS51" s="616"/>
      <c r="GT51" s="616"/>
      <c r="GU51" s="616"/>
      <c r="GV51" s="616"/>
      <c r="GW51" s="616"/>
      <c r="GX51" s="616"/>
      <c r="GY51" s="616"/>
      <c r="GZ51" s="616"/>
      <c r="HA51" s="616"/>
      <c r="HB51" s="616"/>
      <c r="HC51" s="616"/>
      <c r="HD51" s="616"/>
      <c r="HE51" s="616"/>
      <c r="HF51" s="616"/>
      <c r="HG51" s="616"/>
      <c r="HH51" s="616"/>
      <c r="HI51" s="616"/>
      <c r="HJ51" s="616"/>
      <c r="HK51" s="616"/>
      <c r="HL51" s="616"/>
      <c r="HM51" s="616"/>
      <c r="HN51" s="616"/>
      <c r="HO51" s="616"/>
      <c r="HP51" s="616"/>
      <c r="HQ51" s="616"/>
      <c r="HR51" s="616"/>
      <c r="HS51" s="616"/>
      <c r="HT51" s="616"/>
      <c r="HU51" s="616"/>
      <c r="HV51" s="616"/>
      <c r="HW51" s="616"/>
      <c r="HX51" s="616"/>
      <c r="HY51" s="616"/>
      <c r="HZ51" s="616"/>
      <c r="IA51" s="616"/>
      <c r="IB51" s="616"/>
      <c r="IC51" s="616"/>
      <c r="ID51" s="616"/>
      <c r="IE51" s="616"/>
      <c r="IF51" s="616"/>
      <c r="IG51" s="616"/>
      <c r="IH51" s="616"/>
      <c r="II51" s="616"/>
      <c r="IJ51" s="616"/>
      <c r="IK51" s="616"/>
      <c r="IL51" s="616"/>
      <c r="IM51" s="616"/>
      <c r="IN51" s="616"/>
      <c r="IO51" s="616"/>
      <c r="IP51" s="616"/>
      <c r="IQ51" s="616"/>
      <c r="IR51" s="616"/>
      <c r="IS51" s="616"/>
      <c r="IT51" s="616"/>
      <c r="IU51" s="616"/>
      <c r="IV51" s="616"/>
    </row>
    <row r="52" spans="1:256">
      <c r="A52" s="620">
        <f t="shared" si="9"/>
        <v>32</v>
      </c>
      <c r="B52" s="617" t="s">
        <v>326</v>
      </c>
      <c r="C52" s="629">
        <f t="shared" si="10"/>
        <v>0</v>
      </c>
      <c r="D52" s="629">
        <f t="shared" si="11"/>
        <v>0</v>
      </c>
      <c r="E52" s="617">
        <v>31</v>
      </c>
      <c r="F52" s="446">
        <v>123</v>
      </c>
      <c r="G52" s="630">
        <f t="shared" si="6"/>
        <v>0.33698630136986302</v>
      </c>
      <c r="H52" s="629">
        <f t="shared" si="7"/>
        <v>0</v>
      </c>
      <c r="I52" s="629">
        <f t="shared" si="12"/>
        <v>0</v>
      </c>
      <c r="J52" s="616"/>
      <c r="K52" s="616"/>
      <c r="L52" s="616"/>
      <c r="M52" s="616"/>
      <c r="N52" s="616"/>
      <c r="O52" s="616"/>
      <c r="P52" s="616"/>
      <c r="Q52" s="616"/>
      <c r="R52" s="616"/>
      <c r="S52" s="616"/>
      <c r="T52" s="616"/>
      <c r="U52" s="616"/>
      <c r="V52" s="616"/>
      <c r="W52" s="616"/>
      <c r="X52" s="616"/>
      <c r="Y52" s="616"/>
      <c r="Z52" s="616"/>
      <c r="AA52" s="616"/>
      <c r="AB52" s="616"/>
      <c r="AC52" s="616"/>
      <c r="AD52" s="616"/>
      <c r="AE52" s="616"/>
      <c r="AF52" s="616"/>
      <c r="AG52" s="616"/>
      <c r="AH52" s="616"/>
      <c r="AI52" s="616"/>
      <c r="AJ52" s="616"/>
      <c r="AK52" s="616"/>
      <c r="AL52" s="616"/>
      <c r="AM52" s="616"/>
      <c r="AN52" s="616"/>
      <c r="AO52" s="616"/>
      <c r="AP52" s="616"/>
      <c r="AQ52" s="616"/>
      <c r="AR52" s="616"/>
      <c r="AS52" s="616"/>
      <c r="AT52" s="616"/>
      <c r="AU52" s="616"/>
      <c r="AV52" s="616"/>
      <c r="AW52" s="616"/>
      <c r="AX52" s="616"/>
      <c r="AY52" s="616"/>
      <c r="AZ52" s="616"/>
      <c r="BA52" s="616"/>
      <c r="BB52" s="616"/>
      <c r="BC52" s="616"/>
      <c r="BD52" s="616"/>
      <c r="BE52" s="616"/>
      <c r="BF52" s="616"/>
      <c r="BG52" s="616"/>
      <c r="BH52" s="616"/>
      <c r="BI52" s="616"/>
      <c r="BJ52" s="616"/>
      <c r="BK52" s="616"/>
      <c r="BL52" s="616"/>
      <c r="BM52" s="616"/>
      <c r="BN52" s="616"/>
      <c r="BO52" s="616"/>
      <c r="BP52" s="616"/>
      <c r="BQ52" s="616"/>
      <c r="BR52" s="616"/>
      <c r="BS52" s="616"/>
      <c r="BT52" s="616"/>
      <c r="BU52" s="616"/>
      <c r="BV52" s="616"/>
      <c r="BW52" s="616"/>
      <c r="BX52" s="616"/>
      <c r="BY52" s="616"/>
      <c r="BZ52" s="616"/>
      <c r="CA52" s="616"/>
      <c r="CB52" s="616"/>
      <c r="CC52" s="616"/>
      <c r="CD52" s="616"/>
      <c r="CE52" s="616"/>
      <c r="CF52" s="616"/>
      <c r="CG52" s="616"/>
      <c r="CH52" s="616"/>
      <c r="CI52" s="616"/>
      <c r="CJ52" s="616"/>
      <c r="CK52" s="616"/>
      <c r="CL52" s="616"/>
      <c r="CM52" s="616"/>
      <c r="CN52" s="616"/>
      <c r="CO52" s="616"/>
      <c r="CP52" s="616"/>
      <c r="CQ52" s="616"/>
      <c r="CR52" s="616"/>
      <c r="CS52" s="616"/>
      <c r="CT52" s="616"/>
      <c r="CU52" s="616"/>
      <c r="CV52" s="616"/>
      <c r="CW52" s="616"/>
      <c r="CX52" s="616"/>
      <c r="CY52" s="616"/>
      <c r="CZ52" s="616"/>
      <c r="DA52" s="616"/>
      <c r="DB52" s="616"/>
      <c r="DC52" s="616"/>
      <c r="DD52" s="616"/>
      <c r="DE52" s="616"/>
      <c r="DF52" s="616"/>
      <c r="DG52" s="616"/>
      <c r="DH52" s="616"/>
      <c r="DI52" s="616"/>
      <c r="DJ52" s="616"/>
      <c r="DK52" s="616"/>
      <c r="DL52" s="616"/>
      <c r="DM52" s="616"/>
      <c r="DN52" s="616"/>
      <c r="DO52" s="616"/>
      <c r="DP52" s="616"/>
      <c r="DQ52" s="616"/>
      <c r="DR52" s="616"/>
      <c r="DS52" s="616"/>
      <c r="DT52" s="616"/>
      <c r="DU52" s="616"/>
      <c r="DV52" s="616"/>
      <c r="DW52" s="616"/>
      <c r="DX52" s="616"/>
      <c r="DY52" s="616"/>
      <c r="DZ52" s="616"/>
      <c r="EA52" s="616"/>
      <c r="EB52" s="616"/>
      <c r="EC52" s="616"/>
      <c r="ED52" s="616"/>
      <c r="EE52" s="616"/>
      <c r="EF52" s="616"/>
      <c r="EG52" s="616"/>
      <c r="EH52" s="616"/>
      <c r="EI52" s="616"/>
      <c r="EJ52" s="616"/>
      <c r="EK52" s="616"/>
      <c r="EL52" s="616"/>
      <c r="EM52" s="616"/>
      <c r="EN52" s="616"/>
      <c r="EO52" s="616"/>
      <c r="EP52" s="616"/>
      <c r="EQ52" s="616"/>
      <c r="ER52" s="616"/>
      <c r="ES52" s="616"/>
      <c r="ET52" s="616"/>
      <c r="EU52" s="616"/>
      <c r="EV52" s="616"/>
      <c r="EW52" s="616"/>
      <c r="EX52" s="616"/>
      <c r="EY52" s="616"/>
      <c r="EZ52" s="616"/>
      <c r="FA52" s="616"/>
      <c r="FB52" s="616"/>
      <c r="FC52" s="616"/>
      <c r="FD52" s="616"/>
      <c r="FE52" s="616"/>
      <c r="FF52" s="616"/>
      <c r="FG52" s="616"/>
      <c r="FH52" s="616"/>
      <c r="FI52" s="616"/>
      <c r="FJ52" s="616"/>
      <c r="FK52" s="616"/>
      <c r="FL52" s="616"/>
      <c r="FM52" s="616"/>
      <c r="FN52" s="616"/>
      <c r="FO52" s="616"/>
      <c r="FP52" s="616"/>
      <c r="FQ52" s="616"/>
      <c r="FR52" s="616"/>
      <c r="FS52" s="616"/>
      <c r="FT52" s="616"/>
      <c r="FU52" s="616"/>
      <c r="FV52" s="616"/>
      <c r="FW52" s="616"/>
      <c r="FX52" s="616"/>
      <c r="FY52" s="616"/>
      <c r="FZ52" s="616"/>
      <c r="GA52" s="616"/>
      <c r="GB52" s="616"/>
      <c r="GC52" s="616"/>
      <c r="GD52" s="616"/>
      <c r="GE52" s="616"/>
      <c r="GF52" s="616"/>
      <c r="GG52" s="616"/>
      <c r="GH52" s="616"/>
      <c r="GI52" s="616"/>
      <c r="GJ52" s="616"/>
      <c r="GK52" s="616"/>
      <c r="GL52" s="616"/>
      <c r="GM52" s="616"/>
      <c r="GN52" s="616"/>
      <c r="GO52" s="616"/>
      <c r="GP52" s="616"/>
      <c r="GQ52" s="616"/>
      <c r="GR52" s="616"/>
      <c r="GS52" s="616"/>
      <c r="GT52" s="616"/>
      <c r="GU52" s="616"/>
      <c r="GV52" s="616"/>
      <c r="GW52" s="616"/>
      <c r="GX52" s="616"/>
      <c r="GY52" s="616"/>
      <c r="GZ52" s="616"/>
      <c r="HA52" s="616"/>
      <c r="HB52" s="616"/>
      <c r="HC52" s="616"/>
      <c r="HD52" s="616"/>
      <c r="HE52" s="616"/>
      <c r="HF52" s="616"/>
      <c r="HG52" s="616"/>
      <c r="HH52" s="616"/>
      <c r="HI52" s="616"/>
      <c r="HJ52" s="616"/>
      <c r="HK52" s="616"/>
      <c r="HL52" s="616"/>
      <c r="HM52" s="616"/>
      <c r="HN52" s="616"/>
      <c r="HO52" s="616"/>
      <c r="HP52" s="616"/>
      <c r="HQ52" s="616"/>
      <c r="HR52" s="616"/>
      <c r="HS52" s="616"/>
      <c r="HT52" s="616"/>
      <c r="HU52" s="616"/>
      <c r="HV52" s="616"/>
      <c r="HW52" s="616"/>
      <c r="HX52" s="616"/>
      <c r="HY52" s="616"/>
      <c r="HZ52" s="616"/>
      <c r="IA52" s="616"/>
      <c r="IB52" s="616"/>
      <c r="IC52" s="616"/>
      <c r="ID52" s="616"/>
      <c r="IE52" s="616"/>
      <c r="IF52" s="616"/>
      <c r="IG52" s="616"/>
      <c r="IH52" s="616"/>
      <c r="II52" s="616"/>
      <c r="IJ52" s="616"/>
      <c r="IK52" s="616"/>
      <c r="IL52" s="616"/>
      <c r="IM52" s="616"/>
      <c r="IN52" s="616"/>
      <c r="IO52" s="616"/>
      <c r="IP52" s="616"/>
      <c r="IQ52" s="616"/>
      <c r="IR52" s="616"/>
      <c r="IS52" s="616"/>
      <c r="IT52" s="616"/>
      <c r="IU52" s="616"/>
      <c r="IV52" s="616"/>
    </row>
    <row r="53" spans="1:256">
      <c r="A53" s="620">
        <f t="shared" si="9"/>
        <v>33</v>
      </c>
      <c r="B53" s="617" t="s">
        <v>328</v>
      </c>
      <c r="C53" s="629">
        <f t="shared" si="10"/>
        <v>0</v>
      </c>
      <c r="D53" s="629">
        <f t="shared" si="11"/>
        <v>0</v>
      </c>
      <c r="E53" s="617">
        <v>30</v>
      </c>
      <c r="F53" s="446">
        <v>93</v>
      </c>
      <c r="G53" s="630">
        <f t="shared" si="6"/>
        <v>0.25479452054794521</v>
      </c>
      <c r="H53" s="629">
        <f t="shared" si="7"/>
        <v>0</v>
      </c>
      <c r="I53" s="629">
        <f t="shared" si="12"/>
        <v>0</v>
      </c>
      <c r="J53" s="616"/>
      <c r="K53" s="616"/>
      <c r="L53" s="616"/>
      <c r="M53" s="616"/>
      <c r="N53" s="616"/>
      <c r="O53" s="616"/>
      <c r="P53" s="616"/>
      <c r="Q53" s="616"/>
      <c r="R53" s="616"/>
      <c r="S53" s="616"/>
      <c r="T53" s="616"/>
      <c r="U53" s="616"/>
      <c r="V53" s="616"/>
      <c r="W53" s="616"/>
      <c r="X53" s="616"/>
      <c r="Y53" s="616"/>
      <c r="Z53" s="616"/>
      <c r="AA53" s="616"/>
      <c r="AB53" s="616"/>
      <c r="AC53" s="616"/>
      <c r="AD53" s="616"/>
      <c r="AE53" s="616"/>
      <c r="AF53" s="616"/>
      <c r="AG53" s="616"/>
      <c r="AH53" s="616"/>
      <c r="AI53" s="616"/>
      <c r="AJ53" s="616"/>
      <c r="AK53" s="616"/>
      <c r="AL53" s="616"/>
      <c r="AM53" s="616"/>
      <c r="AN53" s="616"/>
      <c r="AO53" s="616"/>
      <c r="AP53" s="616"/>
      <c r="AQ53" s="616"/>
      <c r="AR53" s="616"/>
      <c r="AS53" s="616"/>
      <c r="AT53" s="616"/>
      <c r="AU53" s="616"/>
      <c r="AV53" s="616"/>
      <c r="AW53" s="616"/>
      <c r="AX53" s="616"/>
      <c r="AY53" s="616"/>
      <c r="AZ53" s="616"/>
      <c r="BA53" s="616"/>
      <c r="BB53" s="616"/>
      <c r="BC53" s="616"/>
      <c r="BD53" s="616"/>
      <c r="BE53" s="616"/>
      <c r="BF53" s="616"/>
      <c r="BG53" s="616"/>
      <c r="BH53" s="616"/>
      <c r="BI53" s="616"/>
      <c r="BJ53" s="616"/>
      <c r="BK53" s="616"/>
      <c r="BL53" s="616"/>
      <c r="BM53" s="616"/>
      <c r="BN53" s="616"/>
      <c r="BO53" s="616"/>
      <c r="BP53" s="616"/>
      <c r="BQ53" s="616"/>
      <c r="BR53" s="616"/>
      <c r="BS53" s="616"/>
      <c r="BT53" s="616"/>
      <c r="BU53" s="616"/>
      <c r="BV53" s="616"/>
      <c r="BW53" s="616"/>
      <c r="BX53" s="616"/>
      <c r="BY53" s="616"/>
      <c r="BZ53" s="616"/>
      <c r="CA53" s="616"/>
      <c r="CB53" s="616"/>
      <c r="CC53" s="616"/>
      <c r="CD53" s="616"/>
      <c r="CE53" s="616"/>
      <c r="CF53" s="616"/>
      <c r="CG53" s="616"/>
      <c r="CH53" s="616"/>
      <c r="CI53" s="616"/>
      <c r="CJ53" s="616"/>
      <c r="CK53" s="616"/>
      <c r="CL53" s="616"/>
      <c r="CM53" s="616"/>
      <c r="CN53" s="616"/>
      <c r="CO53" s="616"/>
      <c r="CP53" s="616"/>
      <c r="CQ53" s="616"/>
      <c r="CR53" s="616"/>
      <c r="CS53" s="616"/>
      <c r="CT53" s="616"/>
      <c r="CU53" s="616"/>
      <c r="CV53" s="616"/>
      <c r="CW53" s="616"/>
      <c r="CX53" s="616"/>
      <c r="CY53" s="616"/>
      <c r="CZ53" s="616"/>
      <c r="DA53" s="616"/>
      <c r="DB53" s="616"/>
      <c r="DC53" s="616"/>
      <c r="DD53" s="616"/>
      <c r="DE53" s="616"/>
      <c r="DF53" s="616"/>
      <c r="DG53" s="616"/>
      <c r="DH53" s="616"/>
      <c r="DI53" s="616"/>
      <c r="DJ53" s="616"/>
      <c r="DK53" s="616"/>
      <c r="DL53" s="616"/>
      <c r="DM53" s="616"/>
      <c r="DN53" s="616"/>
      <c r="DO53" s="616"/>
      <c r="DP53" s="616"/>
      <c r="DQ53" s="616"/>
      <c r="DR53" s="616"/>
      <c r="DS53" s="616"/>
      <c r="DT53" s="616"/>
      <c r="DU53" s="616"/>
      <c r="DV53" s="616"/>
      <c r="DW53" s="616"/>
      <c r="DX53" s="616"/>
      <c r="DY53" s="616"/>
      <c r="DZ53" s="616"/>
      <c r="EA53" s="616"/>
      <c r="EB53" s="616"/>
      <c r="EC53" s="616"/>
      <c r="ED53" s="616"/>
      <c r="EE53" s="616"/>
      <c r="EF53" s="616"/>
      <c r="EG53" s="616"/>
      <c r="EH53" s="616"/>
      <c r="EI53" s="616"/>
      <c r="EJ53" s="616"/>
      <c r="EK53" s="616"/>
      <c r="EL53" s="616"/>
      <c r="EM53" s="616"/>
      <c r="EN53" s="616"/>
      <c r="EO53" s="616"/>
      <c r="EP53" s="616"/>
      <c r="EQ53" s="616"/>
      <c r="ER53" s="616"/>
      <c r="ES53" s="616"/>
      <c r="ET53" s="616"/>
      <c r="EU53" s="616"/>
      <c r="EV53" s="616"/>
      <c r="EW53" s="616"/>
      <c r="EX53" s="616"/>
      <c r="EY53" s="616"/>
      <c r="EZ53" s="616"/>
      <c r="FA53" s="616"/>
      <c r="FB53" s="616"/>
      <c r="FC53" s="616"/>
      <c r="FD53" s="616"/>
      <c r="FE53" s="616"/>
      <c r="FF53" s="616"/>
      <c r="FG53" s="616"/>
      <c r="FH53" s="616"/>
      <c r="FI53" s="616"/>
      <c r="FJ53" s="616"/>
      <c r="FK53" s="616"/>
      <c r="FL53" s="616"/>
      <c r="FM53" s="616"/>
      <c r="FN53" s="616"/>
      <c r="FO53" s="616"/>
      <c r="FP53" s="616"/>
      <c r="FQ53" s="616"/>
      <c r="FR53" s="616"/>
      <c r="FS53" s="616"/>
      <c r="FT53" s="616"/>
      <c r="FU53" s="616"/>
      <c r="FV53" s="616"/>
      <c r="FW53" s="616"/>
      <c r="FX53" s="616"/>
      <c r="FY53" s="616"/>
      <c r="FZ53" s="616"/>
      <c r="GA53" s="616"/>
      <c r="GB53" s="616"/>
      <c r="GC53" s="616"/>
      <c r="GD53" s="616"/>
      <c r="GE53" s="616"/>
      <c r="GF53" s="616"/>
      <c r="GG53" s="616"/>
      <c r="GH53" s="616"/>
      <c r="GI53" s="616"/>
      <c r="GJ53" s="616"/>
      <c r="GK53" s="616"/>
      <c r="GL53" s="616"/>
      <c r="GM53" s="616"/>
      <c r="GN53" s="616"/>
      <c r="GO53" s="616"/>
      <c r="GP53" s="616"/>
      <c r="GQ53" s="616"/>
      <c r="GR53" s="616"/>
      <c r="GS53" s="616"/>
      <c r="GT53" s="616"/>
      <c r="GU53" s="616"/>
      <c r="GV53" s="616"/>
      <c r="GW53" s="616"/>
      <c r="GX53" s="616"/>
      <c r="GY53" s="616"/>
      <c r="GZ53" s="616"/>
      <c r="HA53" s="616"/>
      <c r="HB53" s="616"/>
      <c r="HC53" s="616"/>
      <c r="HD53" s="616"/>
      <c r="HE53" s="616"/>
      <c r="HF53" s="616"/>
      <c r="HG53" s="616"/>
      <c r="HH53" s="616"/>
      <c r="HI53" s="616"/>
      <c r="HJ53" s="616"/>
      <c r="HK53" s="616"/>
      <c r="HL53" s="616"/>
      <c r="HM53" s="616"/>
      <c r="HN53" s="616"/>
      <c r="HO53" s="616"/>
      <c r="HP53" s="616"/>
      <c r="HQ53" s="616"/>
      <c r="HR53" s="616"/>
      <c r="HS53" s="616"/>
      <c r="HT53" s="616"/>
      <c r="HU53" s="616"/>
      <c r="HV53" s="616"/>
      <c r="HW53" s="616"/>
      <c r="HX53" s="616"/>
      <c r="HY53" s="616"/>
      <c r="HZ53" s="616"/>
      <c r="IA53" s="616"/>
      <c r="IB53" s="616"/>
      <c r="IC53" s="616"/>
      <c r="ID53" s="616"/>
      <c r="IE53" s="616"/>
      <c r="IF53" s="616"/>
      <c r="IG53" s="616"/>
      <c r="IH53" s="616"/>
      <c r="II53" s="616"/>
      <c r="IJ53" s="616"/>
      <c r="IK53" s="616"/>
      <c r="IL53" s="616"/>
      <c r="IM53" s="616"/>
      <c r="IN53" s="616"/>
      <c r="IO53" s="616"/>
      <c r="IP53" s="616"/>
      <c r="IQ53" s="616"/>
      <c r="IR53" s="616"/>
      <c r="IS53" s="616"/>
      <c r="IT53" s="616"/>
      <c r="IU53" s="616"/>
      <c r="IV53" s="616"/>
    </row>
    <row r="54" spans="1:256">
      <c r="A54" s="620">
        <f t="shared" si="9"/>
        <v>34</v>
      </c>
      <c r="B54" s="617" t="s">
        <v>515</v>
      </c>
      <c r="C54" s="629">
        <f t="shared" si="10"/>
        <v>0</v>
      </c>
      <c r="D54" s="629">
        <f t="shared" si="11"/>
        <v>0</v>
      </c>
      <c r="E54" s="617">
        <v>31</v>
      </c>
      <c r="F54" s="446">
        <v>62</v>
      </c>
      <c r="G54" s="630">
        <f t="shared" si="6"/>
        <v>0.16986301369863013</v>
      </c>
      <c r="H54" s="629">
        <f t="shared" si="7"/>
        <v>0</v>
      </c>
      <c r="I54" s="629">
        <f t="shared" si="12"/>
        <v>0</v>
      </c>
      <c r="J54" s="616"/>
      <c r="K54" s="616"/>
      <c r="L54" s="616"/>
      <c r="M54" s="616"/>
      <c r="N54" s="616"/>
      <c r="O54" s="616"/>
      <c r="P54" s="616"/>
      <c r="Q54" s="616"/>
      <c r="R54" s="616"/>
      <c r="S54" s="616"/>
      <c r="T54" s="616"/>
      <c r="U54" s="616"/>
      <c r="V54" s="616"/>
      <c r="W54" s="616"/>
      <c r="X54" s="616"/>
      <c r="Y54" s="616"/>
      <c r="Z54" s="616"/>
      <c r="AA54" s="616"/>
      <c r="AB54" s="616"/>
      <c r="AC54" s="616"/>
      <c r="AD54" s="616"/>
      <c r="AE54" s="616"/>
      <c r="AF54" s="616"/>
      <c r="AG54" s="616"/>
      <c r="AH54" s="616"/>
      <c r="AI54" s="616"/>
      <c r="AJ54" s="616"/>
      <c r="AK54" s="616"/>
      <c r="AL54" s="616"/>
      <c r="AM54" s="616"/>
      <c r="AN54" s="616"/>
      <c r="AO54" s="616"/>
      <c r="AP54" s="616"/>
      <c r="AQ54" s="616"/>
      <c r="AR54" s="616"/>
      <c r="AS54" s="616"/>
      <c r="AT54" s="616"/>
      <c r="AU54" s="616"/>
      <c r="AV54" s="616"/>
      <c r="AW54" s="616"/>
      <c r="AX54" s="616"/>
      <c r="AY54" s="616"/>
      <c r="AZ54" s="616"/>
      <c r="BA54" s="616"/>
      <c r="BB54" s="616"/>
      <c r="BC54" s="616"/>
      <c r="BD54" s="616"/>
      <c r="BE54" s="616"/>
      <c r="BF54" s="616"/>
      <c r="BG54" s="616"/>
      <c r="BH54" s="616"/>
      <c r="BI54" s="616"/>
      <c r="BJ54" s="616"/>
      <c r="BK54" s="616"/>
      <c r="BL54" s="616"/>
      <c r="BM54" s="616"/>
      <c r="BN54" s="616"/>
      <c r="BO54" s="616"/>
      <c r="BP54" s="616"/>
      <c r="BQ54" s="616"/>
      <c r="BR54" s="616"/>
      <c r="BS54" s="616"/>
      <c r="BT54" s="616"/>
      <c r="BU54" s="616"/>
      <c r="BV54" s="616"/>
      <c r="BW54" s="616"/>
      <c r="BX54" s="616"/>
      <c r="BY54" s="616"/>
      <c r="BZ54" s="616"/>
      <c r="CA54" s="616"/>
      <c r="CB54" s="616"/>
      <c r="CC54" s="616"/>
      <c r="CD54" s="616"/>
      <c r="CE54" s="616"/>
      <c r="CF54" s="616"/>
      <c r="CG54" s="616"/>
      <c r="CH54" s="616"/>
      <c r="CI54" s="616"/>
      <c r="CJ54" s="616"/>
      <c r="CK54" s="616"/>
      <c r="CL54" s="616"/>
      <c r="CM54" s="616"/>
      <c r="CN54" s="616"/>
      <c r="CO54" s="616"/>
      <c r="CP54" s="616"/>
      <c r="CQ54" s="616"/>
      <c r="CR54" s="616"/>
      <c r="CS54" s="616"/>
      <c r="CT54" s="616"/>
      <c r="CU54" s="616"/>
      <c r="CV54" s="616"/>
      <c r="CW54" s="616"/>
      <c r="CX54" s="616"/>
      <c r="CY54" s="616"/>
      <c r="CZ54" s="616"/>
      <c r="DA54" s="616"/>
      <c r="DB54" s="616"/>
      <c r="DC54" s="616"/>
      <c r="DD54" s="616"/>
      <c r="DE54" s="616"/>
      <c r="DF54" s="616"/>
      <c r="DG54" s="616"/>
      <c r="DH54" s="616"/>
      <c r="DI54" s="616"/>
      <c r="DJ54" s="616"/>
      <c r="DK54" s="616"/>
      <c r="DL54" s="616"/>
      <c r="DM54" s="616"/>
      <c r="DN54" s="616"/>
      <c r="DO54" s="616"/>
      <c r="DP54" s="616"/>
      <c r="DQ54" s="616"/>
      <c r="DR54" s="616"/>
      <c r="DS54" s="616"/>
      <c r="DT54" s="616"/>
      <c r="DU54" s="616"/>
      <c r="DV54" s="616"/>
      <c r="DW54" s="616"/>
      <c r="DX54" s="616"/>
      <c r="DY54" s="616"/>
      <c r="DZ54" s="616"/>
      <c r="EA54" s="616"/>
      <c r="EB54" s="616"/>
      <c r="EC54" s="616"/>
      <c r="ED54" s="616"/>
      <c r="EE54" s="616"/>
      <c r="EF54" s="616"/>
      <c r="EG54" s="616"/>
      <c r="EH54" s="616"/>
      <c r="EI54" s="616"/>
      <c r="EJ54" s="616"/>
      <c r="EK54" s="616"/>
      <c r="EL54" s="616"/>
      <c r="EM54" s="616"/>
      <c r="EN54" s="616"/>
      <c r="EO54" s="616"/>
      <c r="EP54" s="616"/>
      <c r="EQ54" s="616"/>
      <c r="ER54" s="616"/>
      <c r="ES54" s="616"/>
      <c r="ET54" s="616"/>
      <c r="EU54" s="616"/>
      <c r="EV54" s="616"/>
      <c r="EW54" s="616"/>
      <c r="EX54" s="616"/>
      <c r="EY54" s="616"/>
      <c r="EZ54" s="616"/>
      <c r="FA54" s="616"/>
      <c r="FB54" s="616"/>
      <c r="FC54" s="616"/>
      <c r="FD54" s="616"/>
      <c r="FE54" s="616"/>
      <c r="FF54" s="616"/>
      <c r="FG54" s="616"/>
      <c r="FH54" s="616"/>
      <c r="FI54" s="616"/>
      <c r="FJ54" s="616"/>
      <c r="FK54" s="616"/>
      <c r="FL54" s="616"/>
      <c r="FM54" s="616"/>
      <c r="FN54" s="616"/>
      <c r="FO54" s="616"/>
      <c r="FP54" s="616"/>
      <c r="FQ54" s="616"/>
      <c r="FR54" s="616"/>
      <c r="FS54" s="616"/>
      <c r="FT54" s="616"/>
      <c r="FU54" s="616"/>
      <c r="FV54" s="616"/>
      <c r="FW54" s="616"/>
      <c r="FX54" s="616"/>
      <c r="FY54" s="616"/>
      <c r="FZ54" s="616"/>
      <c r="GA54" s="616"/>
      <c r="GB54" s="616"/>
      <c r="GC54" s="616"/>
      <c r="GD54" s="616"/>
      <c r="GE54" s="616"/>
      <c r="GF54" s="616"/>
      <c r="GG54" s="616"/>
      <c r="GH54" s="616"/>
      <c r="GI54" s="616"/>
      <c r="GJ54" s="616"/>
      <c r="GK54" s="616"/>
      <c r="GL54" s="616"/>
      <c r="GM54" s="616"/>
      <c r="GN54" s="616"/>
      <c r="GO54" s="616"/>
      <c r="GP54" s="616"/>
      <c r="GQ54" s="616"/>
      <c r="GR54" s="616"/>
      <c r="GS54" s="616"/>
      <c r="GT54" s="616"/>
      <c r="GU54" s="616"/>
      <c r="GV54" s="616"/>
      <c r="GW54" s="616"/>
      <c r="GX54" s="616"/>
      <c r="GY54" s="616"/>
      <c r="GZ54" s="616"/>
      <c r="HA54" s="616"/>
      <c r="HB54" s="616"/>
      <c r="HC54" s="616"/>
      <c r="HD54" s="616"/>
      <c r="HE54" s="616"/>
      <c r="HF54" s="616"/>
      <c r="HG54" s="616"/>
      <c r="HH54" s="616"/>
      <c r="HI54" s="616"/>
      <c r="HJ54" s="616"/>
      <c r="HK54" s="616"/>
      <c r="HL54" s="616"/>
      <c r="HM54" s="616"/>
      <c r="HN54" s="616"/>
      <c r="HO54" s="616"/>
      <c r="HP54" s="616"/>
      <c r="HQ54" s="616"/>
      <c r="HR54" s="616"/>
      <c r="HS54" s="616"/>
      <c r="HT54" s="616"/>
      <c r="HU54" s="616"/>
      <c r="HV54" s="616"/>
      <c r="HW54" s="616"/>
      <c r="HX54" s="616"/>
      <c r="HY54" s="616"/>
      <c r="HZ54" s="616"/>
      <c r="IA54" s="616"/>
      <c r="IB54" s="616"/>
      <c r="IC54" s="616"/>
      <c r="ID54" s="616"/>
      <c r="IE54" s="616"/>
      <c r="IF54" s="616"/>
      <c r="IG54" s="616"/>
      <c r="IH54" s="616"/>
      <c r="II54" s="616"/>
      <c r="IJ54" s="616"/>
      <c r="IK54" s="616"/>
      <c r="IL54" s="616"/>
      <c r="IM54" s="616"/>
      <c r="IN54" s="616"/>
      <c r="IO54" s="616"/>
      <c r="IP54" s="616"/>
      <c r="IQ54" s="616"/>
      <c r="IR54" s="616"/>
      <c r="IS54" s="616"/>
      <c r="IT54" s="616"/>
      <c r="IU54" s="616"/>
      <c r="IV54" s="616"/>
    </row>
    <row r="55" spans="1:256">
      <c r="A55" s="620">
        <f t="shared" si="9"/>
        <v>35</v>
      </c>
      <c r="B55" s="617" t="s">
        <v>516</v>
      </c>
      <c r="C55" s="629">
        <f t="shared" si="10"/>
        <v>0</v>
      </c>
      <c r="D55" s="629">
        <f t="shared" si="11"/>
        <v>0</v>
      </c>
      <c r="E55" s="617">
        <v>30</v>
      </c>
      <c r="F55" s="446">
        <v>32</v>
      </c>
      <c r="G55" s="630">
        <f t="shared" si="6"/>
        <v>8.7671232876712329E-2</v>
      </c>
      <c r="H55" s="629">
        <f t="shared" si="7"/>
        <v>0</v>
      </c>
      <c r="I55" s="629">
        <f t="shared" si="12"/>
        <v>0</v>
      </c>
      <c r="J55" s="616"/>
      <c r="K55" s="616"/>
      <c r="L55" s="616"/>
      <c r="M55" s="616"/>
      <c r="N55" s="616"/>
      <c r="O55" s="616"/>
      <c r="P55" s="616"/>
      <c r="Q55" s="616"/>
      <c r="R55" s="616"/>
      <c r="S55" s="616"/>
      <c r="T55" s="616"/>
      <c r="U55" s="616"/>
      <c r="V55" s="616"/>
      <c r="W55" s="616"/>
      <c r="X55" s="616"/>
      <c r="Y55" s="616"/>
      <c r="Z55" s="616"/>
      <c r="AA55" s="616"/>
      <c r="AB55" s="616"/>
      <c r="AC55" s="616"/>
      <c r="AD55" s="616"/>
      <c r="AE55" s="616"/>
      <c r="AF55" s="616"/>
      <c r="AG55" s="616"/>
      <c r="AH55" s="616"/>
      <c r="AI55" s="616"/>
      <c r="AJ55" s="616"/>
      <c r="AK55" s="616"/>
      <c r="AL55" s="616"/>
      <c r="AM55" s="616"/>
      <c r="AN55" s="616"/>
      <c r="AO55" s="616"/>
      <c r="AP55" s="616"/>
      <c r="AQ55" s="616"/>
      <c r="AR55" s="616"/>
      <c r="AS55" s="616"/>
      <c r="AT55" s="616"/>
      <c r="AU55" s="616"/>
      <c r="AV55" s="616"/>
      <c r="AW55" s="616"/>
      <c r="AX55" s="616"/>
      <c r="AY55" s="616"/>
      <c r="AZ55" s="616"/>
      <c r="BA55" s="616"/>
      <c r="BB55" s="616"/>
      <c r="BC55" s="616"/>
      <c r="BD55" s="616"/>
      <c r="BE55" s="616"/>
      <c r="BF55" s="616"/>
      <c r="BG55" s="616"/>
      <c r="BH55" s="616"/>
      <c r="BI55" s="616"/>
      <c r="BJ55" s="616"/>
      <c r="BK55" s="616"/>
      <c r="BL55" s="616"/>
      <c r="BM55" s="616"/>
      <c r="BN55" s="616"/>
      <c r="BO55" s="616"/>
      <c r="BP55" s="616"/>
      <c r="BQ55" s="616"/>
      <c r="BR55" s="616"/>
      <c r="BS55" s="616"/>
      <c r="BT55" s="616"/>
      <c r="BU55" s="616"/>
      <c r="BV55" s="616"/>
      <c r="BW55" s="616"/>
      <c r="BX55" s="616"/>
      <c r="BY55" s="616"/>
      <c r="BZ55" s="616"/>
      <c r="CA55" s="616"/>
      <c r="CB55" s="616"/>
      <c r="CC55" s="616"/>
      <c r="CD55" s="616"/>
      <c r="CE55" s="616"/>
      <c r="CF55" s="616"/>
      <c r="CG55" s="616"/>
      <c r="CH55" s="616"/>
      <c r="CI55" s="616"/>
      <c r="CJ55" s="616"/>
      <c r="CK55" s="616"/>
      <c r="CL55" s="616"/>
      <c r="CM55" s="616"/>
      <c r="CN55" s="616"/>
      <c r="CO55" s="616"/>
      <c r="CP55" s="616"/>
      <c r="CQ55" s="616"/>
      <c r="CR55" s="616"/>
      <c r="CS55" s="616"/>
      <c r="CT55" s="616"/>
      <c r="CU55" s="616"/>
      <c r="CV55" s="616"/>
      <c r="CW55" s="616"/>
      <c r="CX55" s="616"/>
      <c r="CY55" s="616"/>
      <c r="CZ55" s="616"/>
      <c r="DA55" s="616"/>
      <c r="DB55" s="616"/>
      <c r="DC55" s="616"/>
      <c r="DD55" s="616"/>
      <c r="DE55" s="616"/>
      <c r="DF55" s="616"/>
      <c r="DG55" s="616"/>
      <c r="DH55" s="616"/>
      <c r="DI55" s="616"/>
      <c r="DJ55" s="616"/>
      <c r="DK55" s="616"/>
      <c r="DL55" s="616"/>
      <c r="DM55" s="616"/>
      <c r="DN55" s="616"/>
      <c r="DO55" s="616"/>
      <c r="DP55" s="616"/>
      <c r="DQ55" s="616"/>
      <c r="DR55" s="616"/>
      <c r="DS55" s="616"/>
      <c r="DT55" s="616"/>
      <c r="DU55" s="616"/>
      <c r="DV55" s="616"/>
      <c r="DW55" s="616"/>
      <c r="DX55" s="616"/>
      <c r="DY55" s="616"/>
      <c r="DZ55" s="616"/>
      <c r="EA55" s="616"/>
      <c r="EB55" s="616"/>
      <c r="EC55" s="616"/>
      <c r="ED55" s="616"/>
      <c r="EE55" s="616"/>
      <c r="EF55" s="616"/>
      <c r="EG55" s="616"/>
      <c r="EH55" s="616"/>
      <c r="EI55" s="616"/>
      <c r="EJ55" s="616"/>
      <c r="EK55" s="616"/>
      <c r="EL55" s="616"/>
      <c r="EM55" s="616"/>
      <c r="EN55" s="616"/>
      <c r="EO55" s="616"/>
      <c r="EP55" s="616"/>
      <c r="EQ55" s="616"/>
      <c r="ER55" s="616"/>
      <c r="ES55" s="616"/>
      <c r="ET55" s="616"/>
      <c r="EU55" s="616"/>
      <c r="EV55" s="616"/>
      <c r="EW55" s="616"/>
      <c r="EX55" s="616"/>
      <c r="EY55" s="616"/>
      <c r="EZ55" s="616"/>
      <c r="FA55" s="616"/>
      <c r="FB55" s="616"/>
      <c r="FC55" s="616"/>
      <c r="FD55" s="616"/>
      <c r="FE55" s="616"/>
      <c r="FF55" s="616"/>
      <c r="FG55" s="616"/>
      <c r="FH55" s="616"/>
      <c r="FI55" s="616"/>
      <c r="FJ55" s="616"/>
      <c r="FK55" s="616"/>
      <c r="FL55" s="616"/>
      <c r="FM55" s="616"/>
      <c r="FN55" s="616"/>
      <c r="FO55" s="616"/>
      <c r="FP55" s="616"/>
      <c r="FQ55" s="616"/>
      <c r="FR55" s="616"/>
      <c r="FS55" s="616"/>
      <c r="FT55" s="616"/>
      <c r="FU55" s="616"/>
      <c r="FV55" s="616"/>
      <c r="FW55" s="616"/>
      <c r="FX55" s="616"/>
      <c r="FY55" s="616"/>
      <c r="FZ55" s="616"/>
      <c r="GA55" s="616"/>
      <c r="GB55" s="616"/>
      <c r="GC55" s="616"/>
      <c r="GD55" s="616"/>
      <c r="GE55" s="616"/>
      <c r="GF55" s="616"/>
      <c r="GG55" s="616"/>
      <c r="GH55" s="616"/>
      <c r="GI55" s="616"/>
      <c r="GJ55" s="616"/>
      <c r="GK55" s="616"/>
      <c r="GL55" s="616"/>
      <c r="GM55" s="616"/>
      <c r="GN55" s="616"/>
      <c r="GO55" s="616"/>
      <c r="GP55" s="616"/>
      <c r="GQ55" s="616"/>
      <c r="GR55" s="616"/>
      <c r="GS55" s="616"/>
      <c r="GT55" s="616"/>
      <c r="GU55" s="616"/>
      <c r="GV55" s="616"/>
      <c r="GW55" s="616"/>
      <c r="GX55" s="616"/>
      <c r="GY55" s="616"/>
      <c r="GZ55" s="616"/>
      <c r="HA55" s="616"/>
      <c r="HB55" s="616"/>
      <c r="HC55" s="616"/>
      <c r="HD55" s="616"/>
      <c r="HE55" s="616"/>
      <c r="HF55" s="616"/>
      <c r="HG55" s="616"/>
      <c r="HH55" s="616"/>
      <c r="HI55" s="616"/>
      <c r="HJ55" s="616"/>
      <c r="HK55" s="616"/>
      <c r="HL55" s="616"/>
      <c r="HM55" s="616"/>
      <c r="HN55" s="616"/>
      <c r="HO55" s="616"/>
      <c r="HP55" s="616"/>
      <c r="HQ55" s="616"/>
      <c r="HR55" s="616"/>
      <c r="HS55" s="616"/>
      <c r="HT55" s="616"/>
      <c r="HU55" s="616"/>
      <c r="HV55" s="616"/>
      <c r="HW55" s="616"/>
      <c r="HX55" s="616"/>
      <c r="HY55" s="616"/>
      <c r="HZ55" s="616"/>
      <c r="IA55" s="616"/>
      <c r="IB55" s="616"/>
      <c r="IC55" s="616"/>
      <c r="ID55" s="616"/>
      <c r="IE55" s="616"/>
      <c r="IF55" s="616"/>
      <c r="IG55" s="616"/>
      <c r="IH55" s="616"/>
      <c r="II55" s="616"/>
      <c r="IJ55" s="616"/>
      <c r="IK55" s="616"/>
      <c r="IL55" s="616"/>
      <c r="IM55" s="616"/>
      <c r="IN55" s="616"/>
      <c r="IO55" s="616"/>
      <c r="IP55" s="616"/>
      <c r="IQ55" s="616"/>
      <c r="IR55" s="616"/>
      <c r="IS55" s="616"/>
      <c r="IT55" s="616"/>
      <c r="IU55" s="616"/>
      <c r="IV55" s="616"/>
    </row>
    <row r="56" spans="1:256">
      <c r="A56" s="620">
        <f t="shared" si="9"/>
        <v>36</v>
      </c>
      <c r="B56" s="617" t="s">
        <v>327</v>
      </c>
      <c r="C56" s="629">
        <f t="shared" si="10"/>
        <v>0</v>
      </c>
      <c r="D56" s="629">
        <f t="shared" si="11"/>
        <v>0</v>
      </c>
      <c r="E56" s="617">
        <v>31</v>
      </c>
      <c r="F56" s="446">
        <f>F55-E56</f>
        <v>1</v>
      </c>
      <c r="G56" s="630">
        <f t="shared" si="6"/>
        <v>2.7397260273972603E-3</v>
      </c>
      <c r="H56" s="629">
        <f t="shared" si="7"/>
        <v>0</v>
      </c>
      <c r="I56" s="629">
        <f t="shared" si="12"/>
        <v>0</v>
      </c>
      <c r="J56" s="616"/>
      <c r="K56" s="616"/>
      <c r="L56" s="616"/>
      <c r="M56" s="616"/>
      <c r="N56" s="616"/>
      <c r="O56" s="616"/>
      <c r="P56" s="616"/>
      <c r="Q56" s="616"/>
      <c r="R56" s="616"/>
      <c r="S56" s="616"/>
      <c r="T56" s="616"/>
      <c r="U56" s="616"/>
      <c r="V56" s="616"/>
      <c r="W56" s="616"/>
      <c r="X56" s="616"/>
      <c r="Y56" s="616"/>
      <c r="Z56" s="616"/>
      <c r="AA56" s="616"/>
      <c r="AB56" s="616"/>
      <c r="AC56" s="616"/>
      <c r="AD56" s="616"/>
      <c r="AE56" s="616"/>
      <c r="AF56" s="616"/>
      <c r="AG56" s="616"/>
      <c r="AH56" s="616"/>
      <c r="AI56" s="616"/>
      <c r="AJ56" s="616"/>
      <c r="AK56" s="616"/>
      <c r="AL56" s="616"/>
      <c r="AM56" s="616"/>
      <c r="AN56" s="616"/>
      <c r="AO56" s="616"/>
      <c r="AP56" s="616"/>
      <c r="AQ56" s="616"/>
      <c r="AR56" s="616"/>
      <c r="AS56" s="616"/>
      <c r="AT56" s="616"/>
      <c r="AU56" s="616"/>
      <c r="AV56" s="616"/>
      <c r="AW56" s="616"/>
      <c r="AX56" s="616"/>
      <c r="AY56" s="616"/>
      <c r="AZ56" s="616"/>
      <c r="BA56" s="616"/>
      <c r="BB56" s="616"/>
      <c r="BC56" s="616"/>
      <c r="BD56" s="616"/>
      <c r="BE56" s="616"/>
      <c r="BF56" s="616"/>
      <c r="BG56" s="616"/>
      <c r="BH56" s="616"/>
      <c r="BI56" s="616"/>
      <c r="BJ56" s="616"/>
      <c r="BK56" s="616"/>
      <c r="BL56" s="616"/>
      <c r="BM56" s="616"/>
      <c r="BN56" s="616"/>
      <c r="BO56" s="616"/>
      <c r="BP56" s="616"/>
      <c r="BQ56" s="616"/>
      <c r="BR56" s="616"/>
      <c r="BS56" s="616"/>
      <c r="BT56" s="616"/>
      <c r="BU56" s="616"/>
      <c r="BV56" s="616"/>
      <c r="BW56" s="616"/>
      <c r="BX56" s="616"/>
      <c r="BY56" s="616"/>
      <c r="BZ56" s="616"/>
      <c r="CA56" s="616"/>
      <c r="CB56" s="616"/>
      <c r="CC56" s="616"/>
      <c r="CD56" s="616"/>
      <c r="CE56" s="616"/>
      <c r="CF56" s="616"/>
      <c r="CG56" s="616"/>
      <c r="CH56" s="616"/>
      <c r="CI56" s="616"/>
      <c r="CJ56" s="616"/>
      <c r="CK56" s="616"/>
      <c r="CL56" s="616"/>
      <c r="CM56" s="616"/>
      <c r="CN56" s="616"/>
      <c r="CO56" s="616"/>
      <c r="CP56" s="616"/>
      <c r="CQ56" s="616"/>
      <c r="CR56" s="616"/>
      <c r="CS56" s="616"/>
      <c r="CT56" s="616"/>
      <c r="CU56" s="616"/>
      <c r="CV56" s="616"/>
      <c r="CW56" s="616"/>
      <c r="CX56" s="616"/>
      <c r="CY56" s="616"/>
      <c r="CZ56" s="616"/>
      <c r="DA56" s="616"/>
      <c r="DB56" s="616"/>
      <c r="DC56" s="616"/>
      <c r="DD56" s="616"/>
      <c r="DE56" s="616"/>
      <c r="DF56" s="616"/>
      <c r="DG56" s="616"/>
      <c r="DH56" s="616"/>
      <c r="DI56" s="616"/>
      <c r="DJ56" s="616"/>
      <c r="DK56" s="616"/>
      <c r="DL56" s="616"/>
      <c r="DM56" s="616"/>
      <c r="DN56" s="616"/>
      <c r="DO56" s="616"/>
      <c r="DP56" s="616"/>
      <c r="DQ56" s="616"/>
      <c r="DR56" s="616"/>
      <c r="DS56" s="616"/>
      <c r="DT56" s="616"/>
      <c r="DU56" s="616"/>
      <c r="DV56" s="616"/>
      <c r="DW56" s="616"/>
      <c r="DX56" s="616"/>
      <c r="DY56" s="616"/>
      <c r="DZ56" s="616"/>
      <c r="EA56" s="616"/>
      <c r="EB56" s="616"/>
      <c r="EC56" s="616"/>
      <c r="ED56" s="616"/>
      <c r="EE56" s="616"/>
      <c r="EF56" s="616"/>
      <c r="EG56" s="616"/>
      <c r="EH56" s="616"/>
      <c r="EI56" s="616"/>
      <c r="EJ56" s="616"/>
      <c r="EK56" s="616"/>
      <c r="EL56" s="616"/>
      <c r="EM56" s="616"/>
      <c r="EN56" s="616"/>
      <c r="EO56" s="616"/>
      <c r="EP56" s="616"/>
      <c r="EQ56" s="616"/>
      <c r="ER56" s="616"/>
      <c r="ES56" s="616"/>
      <c r="ET56" s="616"/>
      <c r="EU56" s="616"/>
      <c r="EV56" s="616"/>
      <c r="EW56" s="616"/>
      <c r="EX56" s="616"/>
      <c r="EY56" s="616"/>
      <c r="EZ56" s="616"/>
      <c r="FA56" s="616"/>
      <c r="FB56" s="616"/>
      <c r="FC56" s="616"/>
      <c r="FD56" s="616"/>
      <c r="FE56" s="616"/>
      <c r="FF56" s="616"/>
      <c r="FG56" s="616"/>
      <c r="FH56" s="616"/>
      <c r="FI56" s="616"/>
      <c r="FJ56" s="616"/>
      <c r="FK56" s="616"/>
      <c r="FL56" s="616"/>
      <c r="FM56" s="616"/>
      <c r="FN56" s="616"/>
      <c r="FO56" s="616"/>
      <c r="FP56" s="616"/>
      <c r="FQ56" s="616"/>
      <c r="FR56" s="616"/>
      <c r="FS56" s="616"/>
      <c r="FT56" s="616"/>
      <c r="FU56" s="616"/>
      <c r="FV56" s="616"/>
      <c r="FW56" s="616"/>
      <c r="FX56" s="616"/>
      <c r="FY56" s="616"/>
      <c r="FZ56" s="616"/>
      <c r="GA56" s="616"/>
      <c r="GB56" s="616"/>
      <c r="GC56" s="616"/>
      <c r="GD56" s="616"/>
      <c r="GE56" s="616"/>
      <c r="GF56" s="616"/>
      <c r="GG56" s="616"/>
      <c r="GH56" s="616"/>
      <c r="GI56" s="616"/>
      <c r="GJ56" s="616"/>
      <c r="GK56" s="616"/>
      <c r="GL56" s="616"/>
      <c r="GM56" s="616"/>
      <c r="GN56" s="616"/>
      <c r="GO56" s="616"/>
      <c r="GP56" s="616"/>
      <c r="GQ56" s="616"/>
      <c r="GR56" s="616"/>
      <c r="GS56" s="616"/>
      <c r="GT56" s="616"/>
      <c r="GU56" s="616"/>
      <c r="GV56" s="616"/>
      <c r="GW56" s="616"/>
      <c r="GX56" s="616"/>
      <c r="GY56" s="616"/>
      <c r="GZ56" s="616"/>
      <c r="HA56" s="616"/>
      <c r="HB56" s="616"/>
      <c r="HC56" s="616"/>
      <c r="HD56" s="616"/>
      <c r="HE56" s="616"/>
      <c r="HF56" s="616"/>
      <c r="HG56" s="616"/>
      <c r="HH56" s="616"/>
      <c r="HI56" s="616"/>
      <c r="HJ56" s="616"/>
      <c r="HK56" s="616"/>
      <c r="HL56" s="616"/>
      <c r="HM56" s="616"/>
      <c r="HN56" s="616"/>
      <c r="HO56" s="616"/>
      <c r="HP56" s="616"/>
      <c r="HQ56" s="616"/>
      <c r="HR56" s="616"/>
      <c r="HS56" s="616"/>
      <c r="HT56" s="616"/>
      <c r="HU56" s="616"/>
      <c r="HV56" s="616"/>
      <c r="HW56" s="616"/>
      <c r="HX56" s="616"/>
      <c r="HY56" s="616"/>
      <c r="HZ56" s="616"/>
      <c r="IA56" s="616"/>
      <c r="IB56" s="616"/>
      <c r="IC56" s="616"/>
      <c r="ID56" s="616"/>
      <c r="IE56" s="616"/>
      <c r="IF56" s="616"/>
      <c r="IG56" s="616"/>
      <c r="IH56" s="616"/>
      <c r="II56" s="616"/>
      <c r="IJ56" s="616"/>
      <c r="IK56" s="616"/>
      <c r="IL56" s="616"/>
      <c r="IM56" s="616"/>
      <c r="IN56" s="616"/>
      <c r="IO56" s="616"/>
      <c r="IP56" s="616"/>
      <c r="IQ56" s="616"/>
      <c r="IR56" s="616"/>
      <c r="IS56" s="616"/>
      <c r="IT56" s="616"/>
      <c r="IU56" s="616"/>
      <c r="IV56" s="616"/>
    </row>
    <row r="57" spans="1:256">
      <c r="A57" s="620"/>
      <c r="B57" s="617"/>
      <c r="C57" s="631"/>
      <c r="D57" s="631"/>
      <c r="E57" s="617"/>
      <c r="F57" s="617"/>
      <c r="G57" s="617"/>
      <c r="H57" s="631"/>
      <c r="I57" s="631"/>
      <c r="J57" s="616"/>
      <c r="K57" s="616"/>
      <c r="L57" s="616"/>
      <c r="M57" s="616"/>
      <c r="N57" s="616"/>
      <c r="O57" s="616"/>
      <c r="P57" s="616"/>
      <c r="Q57" s="616"/>
      <c r="R57" s="616"/>
      <c r="S57" s="616"/>
      <c r="T57" s="616"/>
      <c r="U57" s="616"/>
      <c r="V57" s="616"/>
      <c r="W57" s="616"/>
      <c r="X57" s="616"/>
      <c r="Y57" s="616"/>
      <c r="Z57" s="616"/>
      <c r="AA57" s="616"/>
      <c r="AB57" s="616"/>
      <c r="AC57" s="616"/>
      <c r="AD57" s="616"/>
      <c r="AE57" s="616"/>
      <c r="AF57" s="616"/>
      <c r="AG57" s="616"/>
      <c r="AH57" s="616"/>
      <c r="AI57" s="616"/>
      <c r="AJ57" s="616"/>
      <c r="AK57" s="616"/>
      <c r="AL57" s="616"/>
      <c r="AM57" s="616"/>
      <c r="AN57" s="616"/>
      <c r="AO57" s="616"/>
      <c r="AP57" s="616"/>
      <c r="AQ57" s="616"/>
      <c r="AR57" s="616"/>
      <c r="AS57" s="616"/>
      <c r="AT57" s="616"/>
      <c r="AU57" s="616"/>
      <c r="AV57" s="616"/>
      <c r="AW57" s="616"/>
      <c r="AX57" s="616"/>
      <c r="AY57" s="616"/>
      <c r="AZ57" s="616"/>
      <c r="BA57" s="616"/>
      <c r="BB57" s="616"/>
      <c r="BC57" s="616"/>
      <c r="BD57" s="616"/>
      <c r="BE57" s="616"/>
      <c r="BF57" s="616"/>
      <c r="BG57" s="616"/>
      <c r="BH57" s="616"/>
      <c r="BI57" s="616"/>
      <c r="BJ57" s="616"/>
      <c r="BK57" s="616"/>
      <c r="BL57" s="616"/>
      <c r="BM57" s="616"/>
      <c r="BN57" s="616"/>
      <c r="BO57" s="616"/>
      <c r="BP57" s="616"/>
      <c r="BQ57" s="616"/>
      <c r="BR57" s="616"/>
      <c r="BS57" s="616"/>
      <c r="BT57" s="616"/>
      <c r="BU57" s="616"/>
      <c r="BV57" s="616"/>
      <c r="BW57" s="616"/>
      <c r="BX57" s="616"/>
      <c r="BY57" s="616"/>
      <c r="BZ57" s="616"/>
      <c r="CA57" s="616"/>
      <c r="CB57" s="616"/>
      <c r="CC57" s="616"/>
      <c r="CD57" s="616"/>
      <c r="CE57" s="616"/>
      <c r="CF57" s="616"/>
      <c r="CG57" s="616"/>
      <c r="CH57" s="616"/>
      <c r="CI57" s="616"/>
      <c r="CJ57" s="616"/>
      <c r="CK57" s="616"/>
      <c r="CL57" s="616"/>
      <c r="CM57" s="616"/>
      <c r="CN57" s="616"/>
      <c r="CO57" s="616"/>
      <c r="CP57" s="616"/>
      <c r="CQ57" s="616"/>
      <c r="CR57" s="616"/>
      <c r="CS57" s="616"/>
      <c r="CT57" s="616"/>
      <c r="CU57" s="616"/>
      <c r="CV57" s="616"/>
      <c r="CW57" s="616"/>
      <c r="CX57" s="616"/>
      <c r="CY57" s="616"/>
      <c r="CZ57" s="616"/>
      <c r="DA57" s="616"/>
      <c r="DB57" s="616"/>
      <c r="DC57" s="616"/>
      <c r="DD57" s="616"/>
      <c r="DE57" s="616"/>
      <c r="DF57" s="616"/>
      <c r="DG57" s="616"/>
      <c r="DH57" s="616"/>
      <c r="DI57" s="616"/>
      <c r="DJ57" s="616"/>
      <c r="DK57" s="616"/>
      <c r="DL57" s="616"/>
      <c r="DM57" s="616"/>
      <c r="DN57" s="616"/>
      <c r="DO57" s="616"/>
      <c r="DP57" s="616"/>
      <c r="DQ57" s="616"/>
      <c r="DR57" s="616"/>
      <c r="DS57" s="616"/>
      <c r="DT57" s="616"/>
      <c r="DU57" s="616"/>
      <c r="DV57" s="616"/>
      <c r="DW57" s="616"/>
      <c r="DX57" s="616"/>
      <c r="DY57" s="616"/>
      <c r="DZ57" s="616"/>
      <c r="EA57" s="616"/>
      <c r="EB57" s="616"/>
      <c r="EC57" s="616"/>
      <c r="ED57" s="616"/>
      <c r="EE57" s="616"/>
      <c r="EF57" s="616"/>
      <c r="EG57" s="616"/>
      <c r="EH57" s="616"/>
      <c r="EI57" s="616"/>
      <c r="EJ57" s="616"/>
      <c r="EK57" s="616"/>
      <c r="EL57" s="616"/>
      <c r="EM57" s="616"/>
      <c r="EN57" s="616"/>
      <c r="EO57" s="616"/>
      <c r="EP57" s="616"/>
      <c r="EQ57" s="616"/>
      <c r="ER57" s="616"/>
      <c r="ES57" s="616"/>
      <c r="ET57" s="616"/>
      <c r="EU57" s="616"/>
      <c r="EV57" s="616"/>
      <c r="EW57" s="616"/>
      <c r="EX57" s="616"/>
      <c r="EY57" s="616"/>
      <c r="EZ57" s="616"/>
      <c r="FA57" s="616"/>
      <c r="FB57" s="616"/>
      <c r="FC57" s="616"/>
      <c r="FD57" s="616"/>
      <c r="FE57" s="616"/>
      <c r="FF57" s="616"/>
      <c r="FG57" s="616"/>
      <c r="FH57" s="616"/>
      <c r="FI57" s="616"/>
      <c r="FJ57" s="616"/>
      <c r="FK57" s="616"/>
      <c r="FL57" s="616"/>
      <c r="FM57" s="616"/>
      <c r="FN57" s="616"/>
      <c r="FO57" s="616"/>
      <c r="FP57" s="616"/>
      <c r="FQ57" s="616"/>
      <c r="FR57" s="616"/>
      <c r="FS57" s="616"/>
      <c r="FT57" s="616"/>
      <c r="FU57" s="616"/>
      <c r="FV57" s="616"/>
      <c r="FW57" s="616"/>
      <c r="FX57" s="616"/>
      <c r="FY57" s="616"/>
      <c r="FZ57" s="616"/>
      <c r="GA57" s="616"/>
      <c r="GB57" s="616"/>
      <c r="GC57" s="616"/>
      <c r="GD57" s="616"/>
      <c r="GE57" s="616"/>
      <c r="GF57" s="616"/>
      <c r="GG57" s="616"/>
      <c r="GH57" s="616"/>
      <c r="GI57" s="616"/>
      <c r="GJ57" s="616"/>
      <c r="GK57" s="616"/>
      <c r="GL57" s="616"/>
      <c r="GM57" s="616"/>
      <c r="GN57" s="616"/>
      <c r="GO57" s="616"/>
      <c r="GP57" s="616"/>
      <c r="GQ57" s="616"/>
      <c r="GR57" s="616"/>
      <c r="GS57" s="616"/>
      <c r="GT57" s="616"/>
      <c r="GU57" s="616"/>
      <c r="GV57" s="616"/>
      <c r="GW57" s="616"/>
      <c r="GX57" s="616"/>
      <c r="GY57" s="616"/>
      <c r="GZ57" s="616"/>
      <c r="HA57" s="616"/>
      <c r="HB57" s="616"/>
      <c r="HC57" s="616"/>
      <c r="HD57" s="616"/>
      <c r="HE57" s="616"/>
      <c r="HF57" s="616"/>
      <c r="HG57" s="616"/>
      <c r="HH57" s="616"/>
      <c r="HI57" s="616"/>
      <c r="HJ57" s="616"/>
      <c r="HK57" s="616"/>
      <c r="HL57" s="616"/>
      <c r="HM57" s="616"/>
      <c r="HN57" s="616"/>
      <c r="HO57" s="616"/>
      <c r="HP57" s="616"/>
      <c r="HQ57" s="616"/>
      <c r="HR57" s="616"/>
      <c r="HS57" s="616"/>
      <c r="HT57" s="616"/>
      <c r="HU57" s="616"/>
      <c r="HV57" s="616"/>
      <c r="HW57" s="616"/>
      <c r="HX57" s="616"/>
      <c r="HY57" s="616"/>
      <c r="HZ57" s="616"/>
      <c r="IA57" s="616"/>
      <c r="IB57" s="616"/>
      <c r="IC57" s="616"/>
      <c r="ID57" s="616"/>
      <c r="IE57" s="616"/>
      <c r="IF57" s="616"/>
      <c r="IG57" s="616"/>
      <c r="IH57" s="616"/>
      <c r="II57" s="616"/>
      <c r="IJ57" s="616"/>
      <c r="IK57" s="616"/>
      <c r="IL57" s="616"/>
      <c r="IM57" s="616"/>
      <c r="IN57" s="616"/>
      <c r="IO57" s="616"/>
      <c r="IP57" s="616"/>
      <c r="IQ57" s="616"/>
      <c r="IR57" s="616"/>
      <c r="IS57" s="616"/>
      <c r="IT57" s="616"/>
      <c r="IU57" s="616"/>
      <c r="IV57" s="616"/>
    </row>
    <row r="58" spans="1:256">
      <c r="A58" s="620">
        <f>+A56+1</f>
        <v>37</v>
      </c>
      <c r="B58" s="617" t="s">
        <v>517</v>
      </c>
      <c r="C58" s="631"/>
      <c r="D58" s="629">
        <f>+D56</f>
        <v>0</v>
      </c>
      <c r="E58" s="617"/>
      <c r="F58" s="617"/>
      <c r="G58" s="617"/>
      <c r="H58" s="631"/>
      <c r="I58" s="629">
        <f>+I56</f>
        <v>0</v>
      </c>
      <c r="J58" s="616"/>
      <c r="K58" s="616"/>
      <c r="L58" s="616"/>
      <c r="M58" s="616"/>
      <c r="N58" s="616"/>
      <c r="O58" s="616"/>
      <c r="P58" s="616"/>
      <c r="Q58" s="616"/>
      <c r="R58" s="616"/>
      <c r="S58" s="616"/>
      <c r="T58" s="616"/>
      <c r="U58" s="616"/>
      <c r="V58" s="616"/>
      <c r="W58" s="616"/>
      <c r="X58" s="616"/>
      <c r="Y58" s="616"/>
      <c r="Z58" s="616"/>
      <c r="AA58" s="616"/>
      <c r="AB58" s="616"/>
      <c r="AC58" s="616"/>
      <c r="AD58" s="616"/>
      <c r="AE58" s="616"/>
      <c r="AF58" s="616"/>
      <c r="AG58" s="616"/>
      <c r="AH58" s="616"/>
      <c r="AI58" s="616"/>
      <c r="AJ58" s="616"/>
      <c r="AK58" s="616"/>
      <c r="AL58" s="616"/>
      <c r="AM58" s="616"/>
      <c r="AN58" s="616"/>
      <c r="AO58" s="616"/>
      <c r="AP58" s="616"/>
      <c r="AQ58" s="616"/>
      <c r="AR58" s="616"/>
      <c r="AS58" s="616"/>
      <c r="AT58" s="616"/>
      <c r="AU58" s="616"/>
      <c r="AV58" s="616"/>
      <c r="AW58" s="616"/>
      <c r="AX58" s="616"/>
      <c r="AY58" s="616"/>
      <c r="AZ58" s="616"/>
      <c r="BA58" s="616"/>
      <c r="BB58" s="616"/>
      <c r="BC58" s="616"/>
      <c r="BD58" s="616"/>
      <c r="BE58" s="616"/>
      <c r="BF58" s="616"/>
      <c r="BG58" s="616"/>
      <c r="BH58" s="616"/>
      <c r="BI58" s="616"/>
      <c r="BJ58" s="616"/>
      <c r="BK58" s="616"/>
      <c r="BL58" s="616"/>
      <c r="BM58" s="616"/>
      <c r="BN58" s="616"/>
      <c r="BO58" s="616"/>
      <c r="BP58" s="616"/>
      <c r="BQ58" s="616"/>
      <c r="BR58" s="616"/>
      <c r="BS58" s="616"/>
      <c r="BT58" s="616"/>
      <c r="BU58" s="616"/>
      <c r="BV58" s="616"/>
      <c r="BW58" s="616"/>
      <c r="BX58" s="616"/>
      <c r="BY58" s="616"/>
      <c r="BZ58" s="616"/>
      <c r="CA58" s="616"/>
      <c r="CB58" s="616"/>
      <c r="CC58" s="616"/>
      <c r="CD58" s="616"/>
      <c r="CE58" s="616"/>
      <c r="CF58" s="616"/>
      <c r="CG58" s="616"/>
      <c r="CH58" s="616"/>
      <c r="CI58" s="616"/>
      <c r="CJ58" s="616"/>
      <c r="CK58" s="616"/>
      <c r="CL58" s="616"/>
      <c r="CM58" s="616"/>
      <c r="CN58" s="616"/>
      <c r="CO58" s="616"/>
      <c r="CP58" s="616"/>
      <c r="CQ58" s="616"/>
      <c r="CR58" s="616"/>
      <c r="CS58" s="616"/>
      <c r="CT58" s="616"/>
      <c r="CU58" s="616"/>
      <c r="CV58" s="616"/>
      <c r="CW58" s="616"/>
      <c r="CX58" s="616"/>
      <c r="CY58" s="616"/>
      <c r="CZ58" s="616"/>
      <c r="DA58" s="616"/>
      <c r="DB58" s="616"/>
      <c r="DC58" s="616"/>
      <c r="DD58" s="616"/>
      <c r="DE58" s="616"/>
      <c r="DF58" s="616"/>
      <c r="DG58" s="616"/>
      <c r="DH58" s="616"/>
      <c r="DI58" s="616"/>
      <c r="DJ58" s="616"/>
      <c r="DK58" s="616"/>
      <c r="DL58" s="616"/>
      <c r="DM58" s="616"/>
      <c r="DN58" s="616"/>
      <c r="DO58" s="616"/>
      <c r="DP58" s="616"/>
      <c r="DQ58" s="616"/>
      <c r="DR58" s="616"/>
      <c r="DS58" s="616"/>
      <c r="DT58" s="616"/>
      <c r="DU58" s="616"/>
      <c r="DV58" s="616"/>
      <c r="DW58" s="616"/>
      <c r="DX58" s="616"/>
      <c r="DY58" s="616"/>
      <c r="DZ58" s="616"/>
      <c r="EA58" s="616"/>
      <c r="EB58" s="616"/>
      <c r="EC58" s="616"/>
      <c r="ED58" s="616"/>
      <c r="EE58" s="616"/>
      <c r="EF58" s="616"/>
      <c r="EG58" s="616"/>
      <c r="EH58" s="616"/>
      <c r="EI58" s="616"/>
      <c r="EJ58" s="616"/>
      <c r="EK58" s="616"/>
      <c r="EL58" s="616"/>
      <c r="EM58" s="616"/>
      <c r="EN58" s="616"/>
      <c r="EO58" s="616"/>
      <c r="EP58" s="616"/>
      <c r="EQ58" s="616"/>
      <c r="ER58" s="616"/>
      <c r="ES58" s="616"/>
      <c r="ET58" s="616"/>
      <c r="EU58" s="616"/>
      <c r="EV58" s="616"/>
      <c r="EW58" s="616"/>
      <c r="EX58" s="616"/>
      <c r="EY58" s="616"/>
      <c r="EZ58" s="616"/>
      <c r="FA58" s="616"/>
      <c r="FB58" s="616"/>
      <c r="FC58" s="616"/>
      <c r="FD58" s="616"/>
      <c r="FE58" s="616"/>
      <c r="FF58" s="616"/>
      <c r="FG58" s="616"/>
      <c r="FH58" s="616"/>
      <c r="FI58" s="616"/>
      <c r="FJ58" s="616"/>
      <c r="FK58" s="616"/>
      <c r="FL58" s="616"/>
      <c r="FM58" s="616"/>
      <c r="FN58" s="616"/>
      <c r="FO58" s="616"/>
      <c r="FP58" s="616"/>
      <c r="FQ58" s="616"/>
      <c r="FR58" s="616"/>
      <c r="FS58" s="616"/>
      <c r="FT58" s="616"/>
      <c r="FU58" s="616"/>
      <c r="FV58" s="616"/>
      <c r="FW58" s="616"/>
      <c r="FX58" s="616"/>
      <c r="FY58" s="616"/>
      <c r="FZ58" s="616"/>
      <c r="GA58" s="616"/>
      <c r="GB58" s="616"/>
      <c r="GC58" s="616"/>
      <c r="GD58" s="616"/>
      <c r="GE58" s="616"/>
      <c r="GF58" s="616"/>
      <c r="GG58" s="616"/>
      <c r="GH58" s="616"/>
      <c r="GI58" s="616"/>
      <c r="GJ58" s="616"/>
      <c r="GK58" s="616"/>
      <c r="GL58" s="616"/>
      <c r="GM58" s="616"/>
      <c r="GN58" s="616"/>
      <c r="GO58" s="616"/>
      <c r="GP58" s="616"/>
      <c r="GQ58" s="616"/>
      <c r="GR58" s="616"/>
      <c r="GS58" s="616"/>
      <c r="GT58" s="616"/>
      <c r="GU58" s="616"/>
      <c r="GV58" s="616"/>
      <c r="GW58" s="616"/>
      <c r="GX58" s="616"/>
      <c r="GY58" s="616"/>
      <c r="GZ58" s="616"/>
      <c r="HA58" s="616"/>
      <c r="HB58" s="616"/>
      <c r="HC58" s="616"/>
      <c r="HD58" s="616"/>
      <c r="HE58" s="616"/>
      <c r="HF58" s="616"/>
      <c r="HG58" s="616"/>
      <c r="HH58" s="616"/>
      <c r="HI58" s="616"/>
      <c r="HJ58" s="616"/>
      <c r="HK58" s="616"/>
      <c r="HL58" s="616"/>
      <c r="HM58" s="616"/>
      <c r="HN58" s="616"/>
      <c r="HO58" s="616"/>
      <c r="HP58" s="616"/>
      <c r="HQ58" s="616"/>
      <c r="HR58" s="616"/>
      <c r="HS58" s="616"/>
      <c r="HT58" s="616"/>
      <c r="HU58" s="616"/>
      <c r="HV58" s="616"/>
      <c r="HW58" s="616"/>
      <c r="HX58" s="616"/>
      <c r="HY58" s="616"/>
      <c r="HZ58" s="616"/>
      <c r="IA58" s="616"/>
      <c r="IB58" s="616"/>
      <c r="IC58" s="616"/>
      <c r="ID58" s="616"/>
      <c r="IE58" s="616"/>
      <c r="IF58" s="616"/>
      <c r="IG58" s="616"/>
      <c r="IH58" s="616"/>
      <c r="II58" s="616"/>
      <c r="IJ58" s="616"/>
      <c r="IK58" s="616"/>
      <c r="IL58" s="616"/>
      <c r="IM58" s="616"/>
      <c r="IN58" s="616"/>
      <c r="IO58" s="616"/>
      <c r="IP58" s="616"/>
      <c r="IQ58" s="616"/>
      <c r="IR58" s="616"/>
      <c r="IS58" s="616"/>
      <c r="IT58" s="616"/>
      <c r="IU58" s="616"/>
      <c r="IV58" s="616"/>
    </row>
    <row r="59" spans="1:256">
      <c r="A59" s="620"/>
      <c r="B59" s="632"/>
      <c r="C59" s="632"/>
      <c r="D59" s="632"/>
      <c r="E59" s="632"/>
      <c r="F59" s="632"/>
      <c r="G59" s="632"/>
      <c r="H59" s="632"/>
      <c r="I59" s="632"/>
      <c r="J59" s="616"/>
      <c r="K59" s="616"/>
      <c r="L59" s="616"/>
      <c r="M59" s="616"/>
      <c r="N59" s="616"/>
      <c r="O59" s="616"/>
      <c r="P59" s="616"/>
      <c r="Q59" s="616"/>
      <c r="R59" s="616"/>
      <c r="S59" s="616"/>
      <c r="T59" s="616"/>
      <c r="U59" s="616"/>
      <c r="V59" s="616"/>
      <c r="W59" s="616"/>
      <c r="X59" s="616"/>
      <c r="Y59" s="616"/>
      <c r="Z59" s="616"/>
      <c r="AA59" s="616"/>
      <c r="AB59" s="616"/>
      <c r="AC59" s="616"/>
      <c r="AD59" s="616"/>
      <c r="AE59" s="616"/>
      <c r="AF59" s="616"/>
      <c r="AG59" s="616"/>
      <c r="AH59" s="616"/>
      <c r="AI59" s="616"/>
      <c r="AJ59" s="616"/>
      <c r="AK59" s="616"/>
      <c r="AL59" s="616"/>
      <c r="AM59" s="616"/>
      <c r="AN59" s="616"/>
      <c r="AO59" s="616"/>
      <c r="AP59" s="616"/>
      <c r="AQ59" s="616"/>
      <c r="AR59" s="616"/>
      <c r="AS59" s="616"/>
      <c r="AT59" s="616"/>
      <c r="AU59" s="616"/>
      <c r="AV59" s="616"/>
      <c r="AW59" s="616"/>
      <c r="AX59" s="616"/>
      <c r="AY59" s="616"/>
      <c r="AZ59" s="616"/>
      <c r="BA59" s="616"/>
      <c r="BB59" s="616"/>
      <c r="BC59" s="616"/>
      <c r="BD59" s="616"/>
      <c r="BE59" s="616"/>
      <c r="BF59" s="616"/>
      <c r="BG59" s="616"/>
      <c r="BH59" s="616"/>
      <c r="BI59" s="616"/>
      <c r="BJ59" s="616"/>
      <c r="BK59" s="616"/>
      <c r="BL59" s="616"/>
      <c r="BM59" s="616"/>
      <c r="BN59" s="616"/>
      <c r="BO59" s="616"/>
      <c r="BP59" s="616"/>
      <c r="BQ59" s="616"/>
      <c r="BR59" s="616"/>
      <c r="BS59" s="616"/>
      <c r="BT59" s="616"/>
      <c r="BU59" s="616"/>
      <c r="BV59" s="616"/>
      <c r="BW59" s="616"/>
      <c r="BX59" s="616"/>
      <c r="BY59" s="616"/>
      <c r="BZ59" s="616"/>
      <c r="CA59" s="616"/>
      <c r="CB59" s="616"/>
      <c r="CC59" s="616"/>
      <c r="CD59" s="616"/>
      <c r="CE59" s="616"/>
      <c r="CF59" s="616"/>
      <c r="CG59" s="616"/>
      <c r="CH59" s="616"/>
      <c r="CI59" s="616"/>
      <c r="CJ59" s="616"/>
      <c r="CK59" s="616"/>
      <c r="CL59" s="616"/>
      <c r="CM59" s="616"/>
      <c r="CN59" s="616"/>
      <c r="CO59" s="616"/>
      <c r="CP59" s="616"/>
      <c r="CQ59" s="616"/>
      <c r="CR59" s="616"/>
      <c r="CS59" s="616"/>
      <c r="CT59" s="616"/>
      <c r="CU59" s="616"/>
      <c r="CV59" s="616"/>
      <c r="CW59" s="616"/>
      <c r="CX59" s="616"/>
      <c r="CY59" s="616"/>
      <c r="CZ59" s="616"/>
      <c r="DA59" s="616"/>
      <c r="DB59" s="616"/>
      <c r="DC59" s="616"/>
      <c r="DD59" s="616"/>
      <c r="DE59" s="616"/>
      <c r="DF59" s="616"/>
      <c r="DG59" s="616"/>
      <c r="DH59" s="616"/>
      <c r="DI59" s="616"/>
      <c r="DJ59" s="616"/>
      <c r="DK59" s="616"/>
      <c r="DL59" s="616"/>
      <c r="DM59" s="616"/>
      <c r="DN59" s="616"/>
      <c r="DO59" s="616"/>
      <c r="DP59" s="616"/>
      <c r="DQ59" s="616"/>
      <c r="DR59" s="616"/>
      <c r="DS59" s="616"/>
      <c r="DT59" s="616"/>
      <c r="DU59" s="616"/>
      <c r="DV59" s="616"/>
      <c r="DW59" s="616"/>
      <c r="DX59" s="616"/>
      <c r="DY59" s="616"/>
      <c r="DZ59" s="616"/>
      <c r="EA59" s="616"/>
      <c r="EB59" s="616"/>
      <c r="EC59" s="616"/>
      <c r="ED59" s="616"/>
      <c r="EE59" s="616"/>
      <c r="EF59" s="616"/>
      <c r="EG59" s="616"/>
      <c r="EH59" s="616"/>
      <c r="EI59" s="616"/>
      <c r="EJ59" s="616"/>
      <c r="EK59" s="616"/>
      <c r="EL59" s="616"/>
      <c r="EM59" s="616"/>
      <c r="EN59" s="616"/>
      <c r="EO59" s="616"/>
      <c r="EP59" s="616"/>
      <c r="EQ59" s="616"/>
      <c r="ER59" s="616"/>
      <c r="ES59" s="616"/>
      <c r="ET59" s="616"/>
      <c r="EU59" s="616"/>
      <c r="EV59" s="616"/>
      <c r="EW59" s="616"/>
      <c r="EX59" s="616"/>
      <c r="EY59" s="616"/>
      <c r="EZ59" s="616"/>
      <c r="FA59" s="616"/>
      <c r="FB59" s="616"/>
      <c r="FC59" s="616"/>
      <c r="FD59" s="616"/>
      <c r="FE59" s="616"/>
      <c r="FF59" s="616"/>
      <c r="FG59" s="616"/>
      <c r="FH59" s="616"/>
      <c r="FI59" s="616"/>
      <c r="FJ59" s="616"/>
      <c r="FK59" s="616"/>
      <c r="FL59" s="616"/>
      <c r="FM59" s="616"/>
      <c r="FN59" s="616"/>
      <c r="FO59" s="616"/>
      <c r="FP59" s="616"/>
      <c r="FQ59" s="616"/>
      <c r="FR59" s="616"/>
      <c r="FS59" s="616"/>
      <c r="FT59" s="616"/>
      <c r="FU59" s="616"/>
      <c r="FV59" s="616"/>
      <c r="FW59" s="616"/>
      <c r="FX59" s="616"/>
      <c r="FY59" s="616"/>
      <c r="FZ59" s="616"/>
      <c r="GA59" s="616"/>
      <c r="GB59" s="616"/>
      <c r="GC59" s="616"/>
      <c r="GD59" s="616"/>
      <c r="GE59" s="616"/>
      <c r="GF59" s="616"/>
      <c r="GG59" s="616"/>
      <c r="GH59" s="616"/>
      <c r="GI59" s="616"/>
      <c r="GJ59" s="616"/>
      <c r="GK59" s="616"/>
      <c r="GL59" s="616"/>
      <c r="GM59" s="616"/>
      <c r="GN59" s="616"/>
      <c r="GO59" s="616"/>
      <c r="GP59" s="616"/>
      <c r="GQ59" s="616"/>
      <c r="GR59" s="616"/>
      <c r="GS59" s="616"/>
      <c r="GT59" s="616"/>
      <c r="GU59" s="616"/>
      <c r="GV59" s="616"/>
      <c r="GW59" s="616"/>
      <c r="GX59" s="616"/>
      <c r="GY59" s="616"/>
      <c r="GZ59" s="616"/>
      <c r="HA59" s="616"/>
      <c r="HB59" s="616"/>
      <c r="HC59" s="616"/>
      <c r="HD59" s="616"/>
      <c r="HE59" s="616"/>
      <c r="HF59" s="616"/>
      <c r="HG59" s="616"/>
      <c r="HH59" s="616"/>
      <c r="HI59" s="616"/>
      <c r="HJ59" s="616"/>
      <c r="HK59" s="616"/>
      <c r="HL59" s="616"/>
      <c r="HM59" s="616"/>
      <c r="HN59" s="616"/>
      <c r="HO59" s="616"/>
      <c r="HP59" s="616"/>
      <c r="HQ59" s="616"/>
      <c r="HR59" s="616"/>
      <c r="HS59" s="616"/>
      <c r="HT59" s="616"/>
      <c r="HU59" s="616"/>
      <c r="HV59" s="616"/>
      <c r="HW59" s="616"/>
      <c r="HX59" s="616"/>
      <c r="HY59" s="616"/>
      <c r="HZ59" s="616"/>
      <c r="IA59" s="616"/>
      <c r="IB59" s="616"/>
      <c r="IC59" s="616"/>
      <c r="ID59" s="616"/>
      <c r="IE59" s="616"/>
      <c r="IF59" s="616"/>
      <c r="IG59" s="616"/>
      <c r="IH59" s="616"/>
      <c r="II59" s="616"/>
      <c r="IJ59" s="616"/>
      <c r="IK59" s="616"/>
      <c r="IL59" s="616"/>
      <c r="IM59" s="616"/>
      <c r="IN59" s="616"/>
      <c r="IO59" s="616"/>
      <c r="IP59" s="616"/>
      <c r="IQ59" s="616"/>
      <c r="IR59" s="616"/>
      <c r="IS59" s="616"/>
      <c r="IT59" s="616"/>
      <c r="IU59" s="616"/>
      <c r="IV59" s="616"/>
    </row>
    <row r="60" spans="1:256" ht="13" thickBot="1">
      <c r="A60" s="620">
        <f>+A58+1</f>
        <v>38</v>
      </c>
      <c r="B60" s="633" t="str">
        <f>"Proration Adjustment - Line "&amp;A58&amp;" Col. "&amp;I42&amp;" less Col. "&amp;D42</f>
        <v>Proration Adjustment - Line 37 Col. (H) less Col. (C )</v>
      </c>
      <c r="C60" s="633"/>
      <c r="D60" s="633"/>
      <c r="E60" s="633"/>
      <c r="F60" s="633"/>
      <c r="G60" s="633"/>
      <c r="H60" s="633"/>
      <c r="I60" s="634">
        <f>+I58-D58</f>
        <v>0</v>
      </c>
      <c r="J60" s="616"/>
      <c r="K60" s="616"/>
      <c r="L60" s="616"/>
      <c r="M60" s="616"/>
      <c r="N60" s="616"/>
      <c r="O60" s="616"/>
      <c r="P60" s="616"/>
      <c r="Q60" s="616"/>
      <c r="R60" s="616"/>
      <c r="S60" s="616"/>
      <c r="T60" s="616"/>
      <c r="U60" s="616"/>
      <c r="V60" s="616"/>
      <c r="W60" s="616"/>
      <c r="X60" s="616"/>
      <c r="Y60" s="616"/>
      <c r="Z60" s="616"/>
      <c r="AA60" s="616"/>
      <c r="AB60" s="616"/>
      <c r="AC60" s="616"/>
      <c r="AD60" s="616"/>
      <c r="AE60" s="616"/>
      <c r="AF60" s="616"/>
      <c r="AG60" s="616"/>
      <c r="AH60" s="616"/>
      <c r="AI60" s="616"/>
      <c r="AJ60" s="616"/>
      <c r="AK60" s="616"/>
      <c r="AL60" s="616"/>
      <c r="AM60" s="616"/>
      <c r="AN60" s="616"/>
      <c r="AO60" s="616"/>
      <c r="AP60" s="616"/>
      <c r="AQ60" s="616"/>
      <c r="AR60" s="616"/>
      <c r="AS60" s="616"/>
      <c r="AT60" s="616"/>
      <c r="AU60" s="616"/>
      <c r="AV60" s="616"/>
      <c r="AW60" s="616"/>
      <c r="AX60" s="616"/>
      <c r="AY60" s="616"/>
      <c r="AZ60" s="616"/>
      <c r="BA60" s="616"/>
      <c r="BB60" s="616"/>
      <c r="BC60" s="616"/>
      <c r="BD60" s="616"/>
      <c r="BE60" s="616"/>
      <c r="BF60" s="616"/>
      <c r="BG60" s="616"/>
      <c r="BH60" s="616"/>
      <c r="BI60" s="616"/>
      <c r="BJ60" s="616"/>
      <c r="BK60" s="616"/>
      <c r="BL60" s="616"/>
      <c r="BM60" s="616"/>
      <c r="BN60" s="616"/>
      <c r="BO60" s="616"/>
      <c r="BP60" s="616"/>
      <c r="BQ60" s="616"/>
      <c r="BR60" s="616"/>
      <c r="BS60" s="616"/>
      <c r="BT60" s="616"/>
      <c r="BU60" s="616"/>
      <c r="BV60" s="616"/>
      <c r="BW60" s="616"/>
      <c r="BX60" s="616"/>
      <c r="BY60" s="616"/>
      <c r="BZ60" s="616"/>
      <c r="CA60" s="616"/>
      <c r="CB60" s="616"/>
      <c r="CC60" s="616"/>
      <c r="CD60" s="616"/>
      <c r="CE60" s="616"/>
      <c r="CF60" s="616"/>
      <c r="CG60" s="616"/>
      <c r="CH60" s="616"/>
      <c r="CI60" s="616"/>
      <c r="CJ60" s="616"/>
      <c r="CK60" s="616"/>
      <c r="CL60" s="616"/>
      <c r="CM60" s="616"/>
      <c r="CN60" s="616"/>
      <c r="CO60" s="616"/>
      <c r="CP60" s="616"/>
      <c r="CQ60" s="616"/>
      <c r="CR60" s="616"/>
      <c r="CS60" s="616"/>
      <c r="CT60" s="616"/>
      <c r="CU60" s="616"/>
      <c r="CV60" s="616"/>
      <c r="CW60" s="616"/>
      <c r="CX60" s="616"/>
      <c r="CY60" s="616"/>
      <c r="CZ60" s="616"/>
      <c r="DA60" s="616"/>
      <c r="DB60" s="616"/>
      <c r="DC60" s="616"/>
      <c r="DD60" s="616"/>
      <c r="DE60" s="616"/>
      <c r="DF60" s="616"/>
      <c r="DG60" s="616"/>
      <c r="DH60" s="616"/>
      <c r="DI60" s="616"/>
      <c r="DJ60" s="616"/>
      <c r="DK60" s="616"/>
      <c r="DL60" s="616"/>
      <c r="DM60" s="616"/>
      <c r="DN60" s="616"/>
      <c r="DO60" s="616"/>
      <c r="DP60" s="616"/>
      <c r="DQ60" s="616"/>
      <c r="DR60" s="616"/>
      <c r="DS60" s="616"/>
      <c r="DT60" s="616"/>
      <c r="DU60" s="616"/>
      <c r="DV60" s="616"/>
      <c r="DW60" s="616"/>
      <c r="DX60" s="616"/>
      <c r="DY60" s="616"/>
      <c r="DZ60" s="616"/>
      <c r="EA60" s="616"/>
      <c r="EB60" s="616"/>
      <c r="EC60" s="616"/>
      <c r="ED60" s="616"/>
      <c r="EE60" s="616"/>
      <c r="EF60" s="616"/>
      <c r="EG60" s="616"/>
      <c r="EH60" s="616"/>
      <c r="EI60" s="616"/>
      <c r="EJ60" s="616"/>
      <c r="EK60" s="616"/>
      <c r="EL60" s="616"/>
      <c r="EM60" s="616"/>
      <c r="EN60" s="616"/>
      <c r="EO60" s="616"/>
      <c r="EP60" s="616"/>
      <c r="EQ60" s="616"/>
      <c r="ER60" s="616"/>
      <c r="ES60" s="616"/>
      <c r="ET60" s="616"/>
      <c r="EU60" s="616"/>
      <c r="EV60" s="616"/>
      <c r="EW60" s="616"/>
      <c r="EX60" s="616"/>
      <c r="EY60" s="616"/>
      <c r="EZ60" s="616"/>
      <c r="FA60" s="616"/>
      <c r="FB60" s="616"/>
      <c r="FC60" s="616"/>
      <c r="FD60" s="616"/>
      <c r="FE60" s="616"/>
      <c r="FF60" s="616"/>
      <c r="FG60" s="616"/>
      <c r="FH60" s="616"/>
      <c r="FI60" s="616"/>
      <c r="FJ60" s="616"/>
      <c r="FK60" s="616"/>
      <c r="FL60" s="616"/>
      <c r="FM60" s="616"/>
      <c r="FN60" s="616"/>
      <c r="FO60" s="616"/>
      <c r="FP60" s="616"/>
      <c r="FQ60" s="616"/>
      <c r="FR60" s="616"/>
      <c r="FS60" s="616"/>
      <c r="FT60" s="616"/>
      <c r="FU60" s="616"/>
      <c r="FV60" s="616"/>
      <c r="FW60" s="616"/>
      <c r="FX60" s="616"/>
      <c r="FY60" s="616"/>
      <c r="FZ60" s="616"/>
      <c r="GA60" s="616"/>
      <c r="GB60" s="616"/>
      <c r="GC60" s="616"/>
      <c r="GD60" s="616"/>
      <c r="GE60" s="616"/>
      <c r="GF60" s="616"/>
      <c r="GG60" s="616"/>
      <c r="GH60" s="616"/>
      <c r="GI60" s="616"/>
      <c r="GJ60" s="616"/>
      <c r="GK60" s="616"/>
      <c r="GL60" s="616"/>
      <c r="GM60" s="616"/>
      <c r="GN60" s="616"/>
      <c r="GO60" s="616"/>
      <c r="GP60" s="616"/>
      <c r="GQ60" s="616"/>
      <c r="GR60" s="616"/>
      <c r="GS60" s="616"/>
      <c r="GT60" s="616"/>
      <c r="GU60" s="616"/>
      <c r="GV60" s="616"/>
      <c r="GW60" s="616"/>
      <c r="GX60" s="616"/>
      <c r="GY60" s="616"/>
      <c r="GZ60" s="616"/>
      <c r="HA60" s="616"/>
      <c r="HB60" s="616"/>
      <c r="HC60" s="616"/>
      <c r="HD60" s="616"/>
      <c r="HE60" s="616"/>
      <c r="HF60" s="616"/>
      <c r="HG60" s="616"/>
      <c r="HH60" s="616"/>
      <c r="HI60" s="616"/>
      <c r="HJ60" s="616"/>
      <c r="HK60" s="616"/>
      <c r="HL60" s="616"/>
      <c r="HM60" s="616"/>
      <c r="HN60" s="616"/>
      <c r="HO60" s="616"/>
      <c r="HP60" s="616"/>
      <c r="HQ60" s="616"/>
      <c r="HR60" s="616"/>
      <c r="HS60" s="616"/>
      <c r="HT60" s="616"/>
      <c r="HU60" s="616"/>
      <c r="HV60" s="616"/>
      <c r="HW60" s="616"/>
      <c r="HX60" s="616"/>
      <c r="HY60" s="616"/>
      <c r="HZ60" s="616"/>
      <c r="IA60" s="616"/>
      <c r="IB60" s="616"/>
      <c r="IC60" s="616"/>
      <c r="ID60" s="616"/>
      <c r="IE60" s="616"/>
      <c r="IF60" s="616"/>
      <c r="IG60" s="616"/>
      <c r="IH60" s="616"/>
      <c r="II60" s="616"/>
      <c r="IJ60" s="616"/>
      <c r="IK60" s="616"/>
      <c r="IL60" s="616"/>
      <c r="IM60" s="616"/>
      <c r="IN60" s="616"/>
      <c r="IO60" s="616"/>
      <c r="IP60" s="616"/>
      <c r="IQ60" s="616"/>
      <c r="IR60" s="616"/>
      <c r="IS60" s="616"/>
      <c r="IT60" s="616"/>
      <c r="IU60" s="616"/>
      <c r="IV60" s="616"/>
    </row>
    <row r="61" spans="1:256" ht="13" thickTop="1"/>
    <row r="62" spans="1:256">
      <c r="A62" s="635" t="s">
        <v>313</v>
      </c>
      <c r="B62" s="397"/>
      <c r="C62" s="397"/>
      <c r="D62" s="397"/>
      <c r="E62" s="397"/>
      <c r="F62" s="397"/>
      <c r="G62" s="397"/>
      <c r="H62" s="397"/>
      <c r="I62" s="397"/>
    </row>
    <row r="63" spans="1:256" ht="27.75" customHeight="1">
      <c r="A63" s="636">
        <v>1</v>
      </c>
      <c r="B63" s="2009" t="s">
        <v>805</v>
      </c>
      <c r="C63" s="2009"/>
      <c r="D63" s="2009"/>
      <c r="E63" s="2009"/>
      <c r="F63" s="2009"/>
      <c r="G63" s="2009"/>
      <c r="H63" s="2009"/>
      <c r="I63" s="2009"/>
    </row>
  </sheetData>
  <mergeCells count="9">
    <mergeCell ref="B63:I63"/>
    <mergeCell ref="E36:F36"/>
    <mergeCell ref="E10:F10"/>
    <mergeCell ref="A3:I3"/>
    <mergeCell ref="A4:I4"/>
    <mergeCell ref="A5:I5"/>
    <mergeCell ref="A6:I6"/>
    <mergeCell ref="B7:E7"/>
    <mergeCell ref="A8:I8"/>
  </mergeCells>
  <pageMargins left="0.7" right="0.7" top="0.75" bottom="0.75" header="0.3" footer="0.3"/>
  <pageSetup scale="61" orientation="portrait" r:id="rId1"/>
  <headerFooter>
    <oddHeader>&amp;RAEP - SPP Transco Formula Rate
TCOS - WS-C-3
Page: &amp;P of &amp;N</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opLeftCell="A28" zoomScale="80" zoomScaleNormal="80" zoomScaleSheetLayoutView="80" workbookViewId="0">
      <selection activeCell="E42" sqref="E42"/>
    </sheetView>
  </sheetViews>
  <sheetFormatPr defaultColWidth="9.1796875" defaultRowHeight="12.5"/>
  <cols>
    <col min="1" max="1" width="9.1796875" style="645"/>
    <col min="2" max="2" width="47.81640625" style="638" customWidth="1"/>
    <col min="3" max="3" width="38.453125" style="638" customWidth="1"/>
    <col min="4" max="4" width="18.453125" style="638" customWidth="1"/>
    <col min="5" max="5" width="14.1796875" style="638" customWidth="1"/>
    <col min="6" max="6" width="15.1796875" style="638" customWidth="1"/>
    <col min="7" max="7" width="14.26953125" style="638" customWidth="1"/>
    <col min="8" max="9" width="12.81640625" style="638" customWidth="1"/>
    <col min="10" max="16384" width="9.1796875" style="638"/>
  </cols>
  <sheetData>
    <row r="1" spans="1:12" ht="15.5">
      <c r="A1" s="637"/>
    </row>
    <row r="3" spans="1:12" s="641" customFormat="1" ht="15.5">
      <c r="A3" s="639"/>
      <c r="B3" s="2016" t="str">
        <f>+'OKT TCOS'!F4</f>
        <v xml:space="preserve">AEP West SPP Member Transmission Companies </v>
      </c>
      <c r="C3" s="2016"/>
      <c r="D3" s="2016"/>
      <c r="E3" s="2016"/>
      <c r="F3" s="2016"/>
      <c r="G3" s="2016"/>
      <c r="H3" s="2016"/>
      <c r="I3" s="2016"/>
      <c r="J3" s="640"/>
      <c r="K3" s="640"/>
      <c r="L3" s="640"/>
    </row>
    <row r="4" spans="1:12" s="641" customFormat="1" ht="15.5">
      <c r="A4" s="639"/>
      <c r="B4" s="2017" t="str">
        <f>+'OKT WS A-1 - Plant'!A3</f>
        <v xml:space="preserve">Actual / Projected 2019 Rate Year Cost of Service Formula Rate </v>
      </c>
      <c r="C4" s="2017"/>
      <c r="D4" s="2017"/>
      <c r="E4" s="2017"/>
      <c r="F4" s="2017"/>
      <c r="G4" s="2017"/>
      <c r="H4" s="2017"/>
      <c r="I4" s="2017"/>
      <c r="J4" s="642"/>
      <c r="K4" s="642"/>
      <c r="L4" s="642"/>
    </row>
    <row r="5" spans="1:12" s="641" customFormat="1" ht="15.5">
      <c r="A5" s="639"/>
      <c r="B5" s="2018" t="s">
        <v>891</v>
      </c>
      <c r="C5" s="2018"/>
      <c r="D5" s="2018"/>
      <c r="E5" s="2018"/>
      <c r="F5" s="2018"/>
      <c r="G5" s="2018"/>
      <c r="H5" s="2018"/>
      <c r="I5" s="2018"/>
      <c r="J5" s="643"/>
      <c r="K5" s="643"/>
      <c r="L5" s="643"/>
    </row>
    <row r="6" spans="1:12" s="641" customFormat="1" ht="15.5">
      <c r="A6" s="639"/>
      <c r="B6" s="2019" t="str">
        <f>+'OKT TCOS'!F8</f>
        <v>AEP OKLAHOMA TRANSMISSION COMPANY, INC.</v>
      </c>
      <c r="C6" s="2019"/>
      <c r="D6" s="2019"/>
      <c r="E6" s="2019"/>
      <c r="F6" s="2019"/>
      <c r="G6" s="2019"/>
      <c r="H6" s="2019"/>
      <c r="I6" s="2019"/>
      <c r="J6" s="644"/>
      <c r="K6" s="644"/>
      <c r="L6" s="644"/>
    </row>
    <row r="8" spans="1:12">
      <c r="B8" s="638" t="s">
        <v>813</v>
      </c>
    </row>
    <row r="9" spans="1:12" ht="25.5" customHeight="1">
      <c r="B9" s="2015" t="s">
        <v>814</v>
      </c>
      <c r="C9" s="2015"/>
      <c r="D9" s="2015"/>
      <c r="E9" s="2015"/>
      <c r="F9" s="2015"/>
      <c r="G9" s="2015"/>
      <c r="H9" s="2015"/>
      <c r="I9" s="2015"/>
    </row>
    <row r="11" spans="1:12" ht="13">
      <c r="B11" s="646" t="s">
        <v>300</v>
      </c>
      <c r="C11" s="647" t="s">
        <v>301</v>
      </c>
      <c r="D11" s="647"/>
      <c r="E11" s="647" t="s">
        <v>302</v>
      </c>
      <c r="F11" s="647" t="s">
        <v>303</v>
      </c>
      <c r="G11" s="647" t="s">
        <v>228</v>
      </c>
      <c r="H11" s="647" t="s">
        <v>229</v>
      </c>
      <c r="I11" s="647" t="s">
        <v>230</v>
      </c>
    </row>
    <row r="12" spans="1:12" ht="13">
      <c r="A12" s="648" t="s">
        <v>307</v>
      </c>
    </row>
    <row r="13" spans="1:12">
      <c r="A13" s="649"/>
      <c r="E13" s="2020" t="s">
        <v>809</v>
      </c>
      <c r="F13" s="2020"/>
      <c r="G13" s="2020"/>
      <c r="H13" s="2020"/>
      <c r="I13" s="2020"/>
    </row>
    <row r="14" spans="1:12" ht="14">
      <c r="A14" s="649"/>
      <c r="B14" s="650" t="s">
        <v>810</v>
      </c>
      <c r="C14" s="651" t="s">
        <v>344</v>
      </c>
      <c r="D14" s="651" t="s">
        <v>257</v>
      </c>
      <c r="E14" s="652">
        <v>1901001</v>
      </c>
      <c r="F14" s="652">
        <v>2821001</v>
      </c>
      <c r="G14" s="652">
        <v>2831001</v>
      </c>
      <c r="H14" s="652" t="s">
        <v>812</v>
      </c>
      <c r="I14" s="652" t="s">
        <v>812</v>
      </c>
    </row>
    <row r="15" spans="1:12" ht="25">
      <c r="A15" s="649">
        <v>1</v>
      </c>
      <c r="B15" s="653" t="s">
        <v>839</v>
      </c>
      <c r="C15" s="645" t="s">
        <v>815</v>
      </c>
      <c r="D15" s="645">
        <f>+SUM(E15:I15)</f>
        <v>4104405.9999999995</v>
      </c>
      <c r="E15" s="654">
        <v>0</v>
      </c>
      <c r="F15" s="654">
        <v>-2114895.0256543602</v>
      </c>
      <c r="G15" s="654">
        <v>6219301.0256543597</v>
      </c>
      <c r="H15" s="654"/>
      <c r="I15" s="654"/>
    </row>
    <row r="16" spans="1:12">
      <c r="A16" s="649">
        <f t="shared" ref="A16:A43" si="0">+A15+1</f>
        <v>2</v>
      </c>
      <c r="B16" s="653" t="s">
        <v>822</v>
      </c>
      <c r="C16" s="655" t="s">
        <v>890</v>
      </c>
      <c r="D16" s="656"/>
      <c r="E16" s="655">
        <v>5</v>
      </c>
      <c r="F16" s="655">
        <v>5</v>
      </c>
      <c r="G16" s="654">
        <v>5</v>
      </c>
      <c r="H16" s="655">
        <v>5</v>
      </c>
      <c r="I16" s="655">
        <v>5</v>
      </c>
    </row>
    <row r="17" spans="1:9">
      <c r="A17" s="649">
        <f t="shared" si="0"/>
        <v>3</v>
      </c>
      <c r="B17" s="657" t="s">
        <v>811</v>
      </c>
      <c r="C17" s="658" t="str">
        <f>"Line "&amp;A15&amp;" / Line "&amp;A16</f>
        <v>Line 1 / Line 2</v>
      </c>
      <c r="D17" s="658">
        <f>+SUM(E17:I17)</f>
        <v>820881.19999999984</v>
      </c>
      <c r="E17" s="659">
        <f>+E15/E16</f>
        <v>0</v>
      </c>
      <c r="F17" s="659">
        <f>+F15/F16</f>
        <v>-422979.00513087201</v>
      </c>
      <c r="G17" s="659">
        <f>+G15/G16</f>
        <v>1243860.2051308719</v>
      </c>
      <c r="H17" s="659">
        <f>+H15/H16</f>
        <v>0</v>
      </c>
      <c r="I17" s="659">
        <f>+I15/I16</f>
        <v>0</v>
      </c>
    </row>
    <row r="18" spans="1:9" ht="13.5" customHeight="1">
      <c r="A18" s="649">
        <f t="shared" si="0"/>
        <v>4</v>
      </c>
      <c r="B18" s="653" t="s">
        <v>807</v>
      </c>
      <c r="C18" s="645" t="s">
        <v>815</v>
      </c>
      <c r="D18" s="645">
        <f>+SUM(E18:I18)</f>
        <v>820881.19999999984</v>
      </c>
      <c r="E18" s="654">
        <v>0</v>
      </c>
      <c r="F18" s="654">
        <v>-422979.00513087201</v>
      </c>
      <c r="G18" s="654">
        <v>1243860.2051308719</v>
      </c>
      <c r="H18" s="654"/>
      <c r="I18" s="654"/>
    </row>
    <row r="19" spans="1:9">
      <c r="A19" s="649">
        <f t="shared" si="0"/>
        <v>5</v>
      </c>
      <c r="B19" s="657" t="s">
        <v>808</v>
      </c>
      <c r="C19" s="658" t="str">
        <f>"Line "&amp;A17&amp;" + Line "&amp;A18</f>
        <v>Line 3 + Line 4</v>
      </c>
      <c r="D19" s="658">
        <f>+SUM(E19:I19)</f>
        <v>1641762.3999999997</v>
      </c>
      <c r="E19" s="659">
        <f>+E17+E18</f>
        <v>0</v>
      </c>
      <c r="F19" s="659">
        <f>+F17+F18</f>
        <v>-845958.01026174403</v>
      </c>
      <c r="G19" s="659">
        <f>+G17+G18</f>
        <v>2487720.4102617437</v>
      </c>
      <c r="H19" s="659">
        <f>+H17+H18</f>
        <v>0</v>
      </c>
      <c r="I19" s="659">
        <f>+I17+I18</f>
        <v>0</v>
      </c>
    </row>
    <row r="20" spans="1:9">
      <c r="A20" s="649"/>
      <c r="B20" s="660"/>
    </row>
    <row r="21" spans="1:9" ht="25">
      <c r="A21" s="649">
        <f>+A19+1</f>
        <v>6</v>
      </c>
      <c r="B21" s="653" t="s">
        <v>824</v>
      </c>
      <c r="C21" s="654" t="s">
        <v>826</v>
      </c>
      <c r="D21" s="645">
        <f>+SUM(E21:I21)</f>
        <v>2310105.56</v>
      </c>
      <c r="E21" s="638">
        <v>0</v>
      </c>
      <c r="F21" s="638">
        <f>+'OKT WS C-2 ADIT BOY'!H24</f>
        <v>-1190338.08</v>
      </c>
      <c r="G21" s="638">
        <f>+'OKT WS C-2 ADIT BOY'!H35</f>
        <v>3500443.64</v>
      </c>
    </row>
    <row r="22" spans="1:9" ht="25">
      <c r="A22" s="649">
        <f t="shared" si="0"/>
        <v>7</v>
      </c>
      <c r="B22" s="653" t="s">
        <v>823</v>
      </c>
      <c r="C22" s="645" t="str">
        <f>"Line "&amp;A15&amp;" - Line "&amp;A18</f>
        <v>Line 1 - Line 4</v>
      </c>
      <c r="D22" s="645">
        <f t="shared" ref="D22:D23" si="1">+SUM(E22:I22)</f>
        <v>3283524.7999999993</v>
      </c>
      <c r="E22" s="638">
        <f>+E15+E18</f>
        <v>0</v>
      </c>
      <c r="F22" s="638">
        <f>+F15-F18</f>
        <v>-1691916.0205234881</v>
      </c>
      <c r="G22" s="638">
        <f>+G15-G18</f>
        <v>4975440.8205234874</v>
      </c>
      <c r="H22" s="638">
        <f>+H15-H18</f>
        <v>0</v>
      </c>
      <c r="I22" s="638">
        <f>+I15-I18</f>
        <v>0</v>
      </c>
    </row>
    <row r="23" spans="1:9">
      <c r="A23" s="649">
        <f t="shared" si="0"/>
        <v>8</v>
      </c>
      <c r="B23" s="657" t="s">
        <v>825</v>
      </c>
      <c r="C23" s="658" t="str">
        <f>"Line "&amp;A21&amp;" - Line "&amp;A22</f>
        <v>Line 6 - Line 7</v>
      </c>
      <c r="D23" s="658">
        <f t="shared" si="1"/>
        <v>-973419.23999999929</v>
      </c>
      <c r="E23" s="659">
        <f>+E21-E22</f>
        <v>0</v>
      </c>
      <c r="F23" s="659">
        <f>+F21-F22</f>
        <v>501577.94052348798</v>
      </c>
      <c r="G23" s="659">
        <f>+G21-G22</f>
        <v>-1474997.1805234873</v>
      </c>
      <c r="H23" s="659">
        <f>+H21-H22</f>
        <v>0</v>
      </c>
      <c r="I23" s="659">
        <f>+I21-I22</f>
        <v>0</v>
      </c>
    </row>
    <row r="24" spans="1:9">
      <c r="A24" s="649"/>
      <c r="B24" s="653"/>
    </row>
    <row r="25" spans="1:9">
      <c r="A25" s="649">
        <f>+A23+1</f>
        <v>9</v>
      </c>
      <c r="B25" s="653" t="s">
        <v>817</v>
      </c>
      <c r="C25" s="654" t="s">
        <v>818</v>
      </c>
      <c r="D25" s="645">
        <f>+SUM(E25:I25)</f>
        <v>3333020.42</v>
      </c>
      <c r="E25" s="639">
        <v>0</v>
      </c>
      <c r="F25" s="639">
        <f>+'OKT WS C-1 ADIT EOY'!H24</f>
        <v>-1268932.3400000001</v>
      </c>
      <c r="G25" s="639">
        <f>+'OKT WS C-1 ADIT EOY'!H35</f>
        <v>4601952.76</v>
      </c>
      <c r="H25" s="639"/>
      <c r="I25" s="639"/>
    </row>
    <row r="26" spans="1:9" ht="25">
      <c r="A26" s="649">
        <f t="shared" si="0"/>
        <v>10</v>
      </c>
      <c r="B26" s="653" t="s">
        <v>821</v>
      </c>
      <c r="C26" s="645" t="str">
        <f>"Line "&amp;A15&amp;" - Line "&amp;A19</f>
        <v>Line 1 - Line 5</v>
      </c>
      <c r="D26" s="645">
        <f t="shared" ref="D26:D27" si="2">+SUM(E26:I26)</f>
        <v>2462643.5999999996</v>
      </c>
      <c r="E26" s="661">
        <f>+E15-E19</f>
        <v>0</v>
      </c>
      <c r="F26" s="661">
        <f>+F15-F19</f>
        <v>-1268937.0153926162</v>
      </c>
      <c r="G26" s="661">
        <f>+G15-G19</f>
        <v>3731580.615392616</v>
      </c>
      <c r="H26" s="661">
        <f>+H15-H19</f>
        <v>0</v>
      </c>
      <c r="I26" s="661">
        <f>+I15-I19</f>
        <v>0</v>
      </c>
    </row>
    <row r="27" spans="1:9">
      <c r="A27" s="649">
        <f t="shared" si="0"/>
        <v>11</v>
      </c>
      <c r="B27" s="657" t="s">
        <v>820</v>
      </c>
      <c r="C27" s="658" t="str">
        <f>"Line "&amp;A25&amp;" - Line "&amp;A26</f>
        <v>Line 9 - Line 10</v>
      </c>
      <c r="D27" s="658">
        <f t="shared" si="2"/>
        <v>870376.81999999983</v>
      </c>
      <c r="E27" s="659">
        <f>+E25-E26</f>
        <v>0</v>
      </c>
      <c r="F27" s="659">
        <f>+F25-F26</f>
        <v>4.6753926160745323</v>
      </c>
      <c r="G27" s="659">
        <f t="shared" ref="G27:I27" si="3">+G25-G26</f>
        <v>870372.14460738376</v>
      </c>
      <c r="H27" s="659">
        <f t="shared" si="3"/>
        <v>0</v>
      </c>
      <c r="I27" s="659">
        <f t="shared" si="3"/>
        <v>0</v>
      </c>
    </row>
    <row r="28" spans="1:9">
      <c r="A28" s="649"/>
    </row>
    <row r="29" spans="1:9">
      <c r="A29" s="649"/>
    </row>
    <row r="30" spans="1:9">
      <c r="A30" s="649"/>
      <c r="E30" s="2014" t="s">
        <v>809</v>
      </c>
      <c r="F30" s="2014"/>
      <c r="G30" s="2014"/>
    </row>
    <row r="31" spans="1:9" ht="14">
      <c r="A31" s="649"/>
      <c r="B31" s="650" t="s">
        <v>816</v>
      </c>
      <c r="C31" s="651" t="s">
        <v>344</v>
      </c>
      <c r="D31" s="651" t="s">
        <v>257</v>
      </c>
      <c r="E31" s="662">
        <v>2821001</v>
      </c>
      <c r="F31" s="662" t="s">
        <v>812</v>
      </c>
      <c r="G31" s="662" t="s">
        <v>812</v>
      </c>
      <c r="H31" s="663"/>
      <c r="I31" s="663"/>
    </row>
    <row r="32" spans="1:9" ht="25">
      <c r="A32" s="649">
        <f>+A27+1</f>
        <v>12</v>
      </c>
      <c r="B32" s="653" t="s">
        <v>839</v>
      </c>
      <c r="C32" s="645" t="s">
        <v>815</v>
      </c>
      <c r="D32" s="645">
        <f t="shared" ref="D32:D43" si="4">+SUM(E32:I32)</f>
        <v>-63817240</v>
      </c>
      <c r="E32" s="654">
        <v>-63817240</v>
      </c>
      <c r="F32" s="654"/>
      <c r="G32" s="654"/>
      <c r="H32" s="663"/>
      <c r="I32" s="663"/>
    </row>
    <row r="33" spans="1:10">
      <c r="A33" s="649">
        <f>+A32+1</f>
        <v>13</v>
      </c>
      <c r="B33" s="653" t="s">
        <v>811</v>
      </c>
      <c r="C33" s="645" t="s">
        <v>815</v>
      </c>
      <c r="D33" s="645">
        <f t="shared" si="4"/>
        <v>-279716</v>
      </c>
      <c r="E33" s="654">
        <v>-279716</v>
      </c>
      <c r="F33" s="654"/>
      <c r="G33" s="654"/>
      <c r="H33" s="663"/>
      <c r="I33" s="663"/>
    </row>
    <row r="34" spans="1:10" ht="13.5" customHeight="1">
      <c r="A34" s="649">
        <f t="shared" si="0"/>
        <v>14</v>
      </c>
      <c r="B34" s="653" t="s">
        <v>831</v>
      </c>
      <c r="C34" s="645" t="s">
        <v>815</v>
      </c>
      <c r="D34" s="645">
        <f t="shared" si="4"/>
        <v>-171531</v>
      </c>
      <c r="E34" s="654">
        <v>-171531</v>
      </c>
      <c r="F34" s="654"/>
      <c r="G34" s="654"/>
      <c r="H34" s="663"/>
      <c r="I34" s="663"/>
    </row>
    <row r="35" spans="1:10">
      <c r="A35" s="649">
        <f t="shared" si="0"/>
        <v>15</v>
      </c>
      <c r="B35" s="657" t="s">
        <v>832</v>
      </c>
      <c r="C35" s="658" t="str">
        <f>"Line "&amp;A33&amp;" + Line "&amp;A34</f>
        <v>Line 13 + Line 14</v>
      </c>
      <c r="D35" s="658">
        <f t="shared" si="4"/>
        <v>-451247</v>
      </c>
      <c r="E35" s="659">
        <f>+E33+E34</f>
        <v>-451247</v>
      </c>
      <c r="F35" s="659">
        <f>+F33+F34</f>
        <v>0</v>
      </c>
      <c r="G35" s="659"/>
      <c r="H35" s="663"/>
      <c r="I35" s="663"/>
    </row>
    <row r="36" spans="1:10">
      <c r="A36" s="649"/>
      <c r="B36" s="660"/>
      <c r="H36" s="663"/>
      <c r="I36" s="663"/>
    </row>
    <row r="37" spans="1:10">
      <c r="A37" s="649">
        <f>+A35+1</f>
        <v>16</v>
      </c>
      <c r="B37" s="653" t="s">
        <v>829</v>
      </c>
      <c r="C37" s="654" t="s">
        <v>828</v>
      </c>
      <c r="D37" s="639">
        <f t="shared" si="4"/>
        <v>-62022937.600000001</v>
      </c>
      <c r="E37" s="661">
        <f>+'OKT WS C-2 ADIT BOY'!H23</f>
        <v>-62022937.600000001</v>
      </c>
      <c r="F37" s="661"/>
      <c r="G37" s="661"/>
      <c r="H37" s="663"/>
      <c r="I37" s="663"/>
      <c r="J37" s="663"/>
    </row>
    <row r="38" spans="1:10" ht="25">
      <c r="A38" s="649">
        <f t="shared" si="0"/>
        <v>17</v>
      </c>
      <c r="B38" s="653" t="s">
        <v>823</v>
      </c>
      <c r="C38" s="645" t="str">
        <f>"Line "&amp;A32&amp;" - Line "&amp;A34</f>
        <v>Line 12 - Line 14</v>
      </c>
      <c r="D38" s="664">
        <f t="shared" si="4"/>
        <v>-63645709</v>
      </c>
      <c r="E38" s="661">
        <f>+E32-E34</f>
        <v>-63645709</v>
      </c>
      <c r="F38" s="661">
        <f>+F32-F34</f>
        <v>0</v>
      </c>
      <c r="G38" s="661">
        <f>+G32-G34</f>
        <v>0</v>
      </c>
      <c r="H38" s="663"/>
      <c r="I38" s="663"/>
      <c r="J38" s="663"/>
    </row>
    <row r="39" spans="1:10">
      <c r="A39" s="649">
        <f t="shared" si="0"/>
        <v>18</v>
      </c>
      <c r="B39" s="657" t="s">
        <v>825</v>
      </c>
      <c r="C39" s="658" t="str">
        <f>"Line "&amp;A37&amp;" - Line "&amp;A38</f>
        <v>Line 16 - Line 17</v>
      </c>
      <c r="D39" s="665">
        <f t="shared" si="4"/>
        <v>1622771.3999999985</v>
      </c>
      <c r="E39" s="659">
        <f>+E37-E38</f>
        <v>1622771.3999999985</v>
      </c>
      <c r="F39" s="659">
        <f>+F37-F38</f>
        <v>0</v>
      </c>
      <c r="G39" s="659">
        <f>+G37-G38</f>
        <v>0</v>
      </c>
      <c r="H39" s="663"/>
      <c r="I39" s="663"/>
      <c r="J39" s="663"/>
    </row>
    <row r="40" spans="1:10">
      <c r="A40" s="649"/>
      <c r="H40" s="663"/>
      <c r="I40" s="663"/>
      <c r="J40" s="663"/>
    </row>
    <row r="41" spans="1:10" ht="25">
      <c r="A41" s="649">
        <f>+A39+1</f>
        <v>19</v>
      </c>
      <c r="B41" s="653" t="s">
        <v>830</v>
      </c>
      <c r="C41" s="654" t="s">
        <v>819</v>
      </c>
      <c r="D41" s="639">
        <f t="shared" si="4"/>
        <v>-63537523.600000001</v>
      </c>
      <c r="E41" s="639">
        <f>+'OKT WS C-1 ADIT EOY'!H23</f>
        <v>-63537523.600000001</v>
      </c>
      <c r="F41" s="639"/>
      <c r="G41" s="639"/>
      <c r="H41" s="663"/>
      <c r="I41" s="663"/>
      <c r="J41" s="663"/>
    </row>
    <row r="42" spans="1:10" ht="25">
      <c r="A42" s="649">
        <f t="shared" si="0"/>
        <v>20</v>
      </c>
      <c r="B42" s="653" t="s">
        <v>821</v>
      </c>
      <c r="C42" s="645" t="str">
        <f>"Line "&amp;A32&amp;" - Line "&amp;A35</f>
        <v>Line 12 - Line 15</v>
      </c>
      <c r="D42" s="664">
        <f t="shared" si="4"/>
        <v>-63365993</v>
      </c>
      <c r="E42" s="639">
        <f>+E32-E35</f>
        <v>-63365993</v>
      </c>
      <c r="F42" s="639">
        <f t="shared" ref="F42:G42" si="5">+F32+F35</f>
        <v>0</v>
      </c>
      <c r="G42" s="639">
        <f t="shared" si="5"/>
        <v>0</v>
      </c>
      <c r="H42" s="663"/>
      <c r="I42" s="663"/>
      <c r="J42" s="663"/>
    </row>
    <row r="43" spans="1:10">
      <c r="A43" s="649">
        <f t="shared" si="0"/>
        <v>21</v>
      </c>
      <c r="B43" s="657" t="s">
        <v>820</v>
      </c>
      <c r="C43" s="658" t="str">
        <f>"Line "&amp;A41&amp;" - Line "&amp;A42</f>
        <v>Line 19 - Line 20</v>
      </c>
      <c r="D43" s="665">
        <f t="shared" si="4"/>
        <v>-171530.60000000149</v>
      </c>
      <c r="E43" s="659">
        <f>+E41-E42</f>
        <v>-171530.60000000149</v>
      </c>
      <c r="F43" s="659">
        <f>+F41-F42</f>
        <v>0</v>
      </c>
      <c r="G43" s="659">
        <f>+G41-G42</f>
        <v>0</v>
      </c>
      <c r="H43" s="663"/>
      <c r="I43" s="663"/>
    </row>
    <row r="44" spans="1:10">
      <c r="A44" s="649"/>
      <c r="G44" s="663"/>
      <c r="H44" s="663"/>
      <c r="I44" s="663"/>
    </row>
    <row r="45" spans="1:10">
      <c r="A45" s="649"/>
    </row>
    <row r="46" spans="1:10" ht="14">
      <c r="A46" s="649"/>
      <c r="B46" s="650" t="s">
        <v>836</v>
      </c>
      <c r="D46" s="666" t="s">
        <v>806</v>
      </c>
    </row>
    <row r="47" spans="1:10">
      <c r="A47" s="649">
        <f>+A43+1</f>
        <v>22</v>
      </c>
      <c r="B47" s="638" t="s">
        <v>833</v>
      </c>
      <c r="C47" s="645" t="str">
        <f>"Line "&amp;A17</f>
        <v>Line 3</v>
      </c>
      <c r="D47" s="638">
        <f>+D17</f>
        <v>820881.19999999984</v>
      </c>
    </row>
    <row r="48" spans="1:10">
      <c r="A48" s="649">
        <f>+A47+1</f>
        <v>23</v>
      </c>
      <c r="B48" s="638" t="s">
        <v>834</v>
      </c>
      <c r="C48" s="645" t="str">
        <f>"Line "&amp;A33</f>
        <v>Line 13</v>
      </c>
      <c r="D48" s="638">
        <f>+D33</f>
        <v>-279716</v>
      </c>
    </row>
    <row r="49" spans="1:4">
      <c r="A49" s="649">
        <f>+A48+1</f>
        <v>24</v>
      </c>
      <c r="B49" s="659" t="s">
        <v>835</v>
      </c>
      <c r="C49" s="658" t="str">
        <f>"Line "&amp;A47&amp;" + Line "&amp;A48</f>
        <v>Line 22 + Line 23</v>
      </c>
      <c r="D49" s="659">
        <f>+D47+D48</f>
        <v>541165.19999999984</v>
      </c>
    </row>
  </sheetData>
  <mergeCells count="7">
    <mergeCell ref="E30:G30"/>
    <mergeCell ref="B9:I9"/>
    <mergeCell ref="B3:I3"/>
    <mergeCell ref="B4:I4"/>
    <mergeCell ref="B5:I5"/>
    <mergeCell ref="B6:I6"/>
    <mergeCell ref="E13:I13"/>
  </mergeCells>
  <pageMargins left="0.45" right="0.2" top="0.75" bottom="0.75" header="0.3" footer="0.3"/>
  <pageSetup scale="50" fitToHeight="0" orientation="portrait" r:id="rId1"/>
  <headerFooter>
    <oddHeader>&amp;RAEP - SPP Transco Formula Rate
TCOS - WS C-4
Page: &amp;P of &amp;N</oddHeader>
  </headerFooter>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E94"/>
  <sheetViews>
    <sheetView topLeftCell="L10" zoomScale="81" zoomScaleNormal="81" zoomScaleSheetLayoutView="80" zoomScalePageLayoutView="70" workbookViewId="0">
      <selection activeCell="Q28" sqref="Q28"/>
    </sheetView>
  </sheetViews>
  <sheetFormatPr defaultColWidth="11.453125" defaultRowHeight="12.5"/>
  <cols>
    <col min="1" max="1" width="12.54296875" style="731" customWidth="1"/>
    <col min="2" max="2" width="15.453125" style="668" customWidth="1"/>
    <col min="3" max="3" width="42.26953125" style="668" customWidth="1"/>
    <col min="4" max="4" width="22.1796875" style="668" customWidth="1"/>
    <col min="5" max="5" width="21" style="668" customWidth="1"/>
    <col min="6" max="6" width="1" style="668" customWidth="1"/>
    <col min="7" max="7" width="24" style="668" customWidth="1"/>
    <col min="8" max="8" width="1" style="668" customWidth="1"/>
    <col min="9" max="9" width="19.1796875" style="668" customWidth="1"/>
    <col min="10" max="10" width="16.7265625" style="668" customWidth="1"/>
    <col min="11" max="11" width="49.81640625" style="668" customWidth="1"/>
    <col min="12" max="13" width="13.453125" style="668" customWidth="1"/>
    <col min="14" max="14" width="31" style="668" customWidth="1"/>
    <col min="15" max="15" width="29.26953125" style="668" customWidth="1"/>
    <col min="16" max="16" width="20.26953125" style="668" customWidth="1"/>
    <col min="17" max="29" width="14.26953125" style="668" customWidth="1"/>
    <col min="30" max="16384" width="11.453125" style="668"/>
  </cols>
  <sheetData>
    <row r="1" spans="1:29" ht="15.5">
      <c r="A1" s="667"/>
      <c r="K1" s="669"/>
      <c r="M1" s="667"/>
      <c r="AC1" s="669"/>
    </row>
    <row r="2" spans="1:29" ht="15.5">
      <c r="A2" s="1990" t="str">
        <f>+'OKT TCOS'!F4</f>
        <v xml:space="preserve">AEP West SPP Member Transmission Companies </v>
      </c>
      <c r="B2" s="1990"/>
      <c r="C2" s="1990"/>
      <c r="D2" s="1990"/>
      <c r="E2" s="1990"/>
      <c r="F2" s="1990"/>
      <c r="G2" s="1990"/>
      <c r="H2" s="1990"/>
      <c r="I2" s="1990"/>
      <c r="J2" s="1990"/>
      <c r="K2" s="1990"/>
      <c r="L2" s="670"/>
      <c r="M2" s="1990" t="str">
        <f>+A2</f>
        <v xml:space="preserve">AEP West SPP Member Transmission Companies </v>
      </c>
      <c r="N2" s="1990"/>
      <c r="O2" s="1990"/>
      <c r="P2" s="1990"/>
      <c r="Q2" s="1990"/>
      <c r="R2" s="1990"/>
      <c r="S2" s="1990"/>
      <c r="T2" s="1990"/>
      <c r="U2" s="1990"/>
      <c r="V2" s="1990"/>
      <c r="W2" s="1990"/>
      <c r="X2" s="1990"/>
      <c r="Y2" s="1990"/>
    </row>
    <row r="3" spans="1:29" ht="15.5">
      <c r="A3" s="1990" t="str">
        <f>+'OKT WS A-1 - Plant'!A3</f>
        <v xml:space="preserve">Actual / Projected 2019 Rate Year Cost of Service Formula Rate </v>
      </c>
      <c r="B3" s="1990"/>
      <c r="C3" s="1990"/>
      <c r="D3" s="1990"/>
      <c r="E3" s="1990"/>
      <c r="F3" s="1990"/>
      <c r="G3" s="1990"/>
      <c r="H3" s="1990"/>
      <c r="I3" s="1990"/>
      <c r="J3" s="1990"/>
      <c r="K3" s="1990"/>
      <c r="L3" s="671"/>
      <c r="M3" s="1990" t="str">
        <f>+A3</f>
        <v xml:space="preserve">Actual / Projected 2019 Rate Year Cost of Service Formula Rate </v>
      </c>
      <c r="N3" s="1990"/>
      <c r="O3" s="1990"/>
      <c r="P3" s="1990"/>
      <c r="Q3" s="1990"/>
      <c r="R3" s="1990"/>
      <c r="S3" s="1990"/>
      <c r="T3" s="1990"/>
      <c r="U3" s="1990"/>
      <c r="V3" s="1990"/>
      <c r="W3" s="1990"/>
      <c r="X3" s="1990"/>
      <c r="Y3" s="1990"/>
    </row>
    <row r="4" spans="1:29" ht="15.5">
      <c r="A4" s="1991" t="s">
        <v>894</v>
      </c>
      <c r="B4" s="1990"/>
      <c r="C4" s="1990"/>
      <c r="D4" s="1990"/>
      <c r="E4" s="1990"/>
      <c r="F4" s="1990"/>
      <c r="G4" s="1990"/>
      <c r="H4" s="1990"/>
      <c r="I4" s="1990"/>
      <c r="J4" s="1990"/>
      <c r="K4" s="1990"/>
      <c r="L4" s="672"/>
      <c r="M4" s="1990" t="str">
        <f>+A4</f>
        <v>Worksheet D - Materials and Supplies and Prepayments</v>
      </c>
      <c r="N4" s="1990"/>
      <c r="O4" s="1990"/>
      <c r="P4" s="1990"/>
      <c r="Q4" s="1990"/>
      <c r="R4" s="1990"/>
      <c r="S4" s="1990"/>
      <c r="T4" s="1990"/>
      <c r="U4" s="1990"/>
      <c r="V4" s="1990"/>
      <c r="W4" s="1990"/>
      <c r="X4" s="1990"/>
      <c r="Y4" s="1990"/>
    </row>
    <row r="5" spans="1:29" ht="15.5">
      <c r="A5" s="2025" t="str">
        <f>+'OKT TCOS'!F8</f>
        <v>AEP OKLAHOMA TRANSMISSION COMPANY, INC.</v>
      </c>
      <c r="B5" s="2025"/>
      <c r="C5" s="2025"/>
      <c r="D5" s="2025"/>
      <c r="E5" s="2025"/>
      <c r="F5" s="2025"/>
      <c r="G5" s="2025"/>
      <c r="H5" s="2025"/>
      <c r="I5" s="2025"/>
      <c r="J5" s="2025"/>
      <c r="K5" s="2025"/>
      <c r="L5" s="111"/>
      <c r="M5" s="1991" t="str">
        <f>+A5</f>
        <v>AEP OKLAHOMA TRANSMISSION COMPANY, INC.</v>
      </c>
      <c r="N5" s="1991"/>
      <c r="O5" s="1991"/>
      <c r="P5" s="1991"/>
      <c r="Q5" s="1991"/>
      <c r="R5" s="1991"/>
      <c r="S5" s="1991"/>
      <c r="T5" s="1991"/>
      <c r="U5" s="1991"/>
      <c r="V5" s="1991"/>
      <c r="W5" s="1991"/>
      <c r="X5" s="1991"/>
      <c r="Y5" s="1991"/>
    </row>
    <row r="6" spans="1:29" ht="15.5">
      <c r="A6" s="111"/>
      <c r="B6" s="111"/>
      <c r="C6" s="111"/>
      <c r="D6" s="111"/>
      <c r="E6" s="111"/>
      <c r="F6" s="111"/>
      <c r="G6" s="111"/>
      <c r="H6" s="673"/>
      <c r="I6" s="674"/>
      <c r="J6" s="674"/>
      <c r="K6" s="674"/>
      <c r="L6" s="674"/>
      <c r="M6" s="111"/>
      <c r="N6" s="111"/>
      <c r="O6" s="111"/>
      <c r="P6" s="111"/>
      <c r="Q6" s="111"/>
      <c r="R6" s="111"/>
      <c r="S6" s="111"/>
      <c r="T6" s="111"/>
      <c r="U6" s="673"/>
      <c r="V6" s="674"/>
      <c r="W6" s="674"/>
      <c r="X6" s="674"/>
      <c r="Y6" s="674"/>
    </row>
    <row r="7" spans="1:29" ht="12.75" customHeight="1">
      <c r="A7" s="675"/>
      <c r="B7" s="675" t="s">
        <v>300</v>
      </c>
      <c r="C7" s="675" t="s">
        <v>301</v>
      </c>
      <c r="D7" s="675" t="s">
        <v>204</v>
      </c>
      <c r="E7" s="675" t="s">
        <v>303</v>
      </c>
      <c r="F7" s="675"/>
      <c r="G7" s="675" t="s">
        <v>228</v>
      </c>
      <c r="H7" s="675"/>
      <c r="I7" s="675" t="s">
        <v>229</v>
      </c>
      <c r="J7" s="675" t="s">
        <v>230</v>
      </c>
      <c r="K7" s="675" t="s">
        <v>235</v>
      </c>
      <c r="L7" s="675"/>
      <c r="M7" s="675" t="s">
        <v>300</v>
      </c>
      <c r="N7" s="675" t="s">
        <v>301</v>
      </c>
      <c r="O7" s="675" t="s">
        <v>204</v>
      </c>
      <c r="P7" s="675" t="s">
        <v>303</v>
      </c>
      <c r="Q7" s="675" t="s">
        <v>228</v>
      </c>
      <c r="R7" s="675" t="s">
        <v>229</v>
      </c>
      <c r="S7" s="675" t="s">
        <v>230</v>
      </c>
      <c r="T7" s="675" t="s">
        <v>235</v>
      </c>
      <c r="U7" s="675" t="s">
        <v>176</v>
      </c>
      <c r="V7" s="675" t="s">
        <v>73</v>
      </c>
      <c r="W7" s="675" t="s">
        <v>842</v>
      </c>
      <c r="X7" s="675" t="s">
        <v>553</v>
      </c>
      <c r="Y7" s="675" t="s">
        <v>554</v>
      </c>
      <c r="Z7" s="675" t="s">
        <v>843</v>
      </c>
      <c r="AA7" s="675" t="s">
        <v>555</v>
      </c>
      <c r="AB7" s="675" t="s">
        <v>845</v>
      </c>
      <c r="AC7" s="675" t="s">
        <v>848</v>
      </c>
    </row>
    <row r="8" spans="1:29" ht="13">
      <c r="A8" s="676"/>
      <c r="M8" s="676"/>
    </row>
    <row r="9" spans="1:29" ht="18">
      <c r="A9" s="676"/>
      <c r="B9" s="2026" t="s">
        <v>345</v>
      </c>
      <c r="C9" s="2026"/>
      <c r="D9" s="2026"/>
      <c r="E9" s="2026"/>
      <c r="F9" s="2026"/>
      <c r="G9" s="2026"/>
      <c r="H9" s="2026"/>
      <c r="I9" s="2026"/>
      <c r="J9" s="2026"/>
      <c r="K9" s="2026"/>
      <c r="M9" s="2026" t="s">
        <v>345</v>
      </c>
      <c r="N9" s="2026"/>
      <c r="O9" s="2026"/>
      <c r="P9" s="2026"/>
      <c r="Q9" s="2026"/>
      <c r="R9" s="2026"/>
      <c r="S9" s="2026"/>
      <c r="T9" s="2026"/>
      <c r="U9" s="2026"/>
      <c r="V9" s="2026"/>
      <c r="W9" s="2026"/>
      <c r="X9" s="2026"/>
      <c r="Y9" s="2026"/>
      <c r="Z9" s="2026"/>
      <c r="AA9" s="2026"/>
      <c r="AB9" s="2026"/>
      <c r="AC9" s="2026"/>
    </row>
    <row r="10" spans="1:29" ht="13">
      <c r="A10" s="676"/>
      <c r="I10" s="599"/>
      <c r="J10" s="599"/>
    </row>
    <row r="11" spans="1:29" ht="30" customHeight="1">
      <c r="A11" s="514"/>
      <c r="B11" s="677"/>
      <c r="C11" s="678"/>
      <c r="D11" s="679"/>
      <c r="E11" s="132"/>
      <c r="F11" s="132"/>
      <c r="G11" s="2021" t="str">
        <f>"13 Month Average Balance for Rate Year "</f>
        <v xml:space="preserve">13 Month Average Balance for Rate Year </v>
      </c>
      <c r="H11" s="680"/>
      <c r="J11" s="599"/>
      <c r="K11" s="681"/>
      <c r="L11" s="514"/>
      <c r="M11" s="682"/>
      <c r="N11" s="682"/>
      <c r="O11" s="682"/>
      <c r="P11" s="682"/>
      <c r="Q11" s="2027" t="s">
        <v>841</v>
      </c>
      <c r="R11" s="2027"/>
      <c r="S11" s="2027"/>
      <c r="T11" s="2027"/>
      <c r="U11" s="2027"/>
      <c r="V11" s="2027"/>
      <c r="W11" s="2027"/>
      <c r="X11" s="2027"/>
      <c r="Y11" s="2027"/>
      <c r="Z11" s="2027"/>
      <c r="AA11" s="2027"/>
      <c r="AB11" s="2027"/>
      <c r="AC11" s="2027"/>
    </row>
    <row r="12" spans="1:29" ht="25.5">
      <c r="A12" s="683" t="s">
        <v>844</v>
      </c>
      <c r="B12" s="684"/>
      <c r="C12" s="677"/>
      <c r="D12" s="685" t="s">
        <v>344</v>
      </c>
      <c r="E12" s="132"/>
      <c r="F12" s="132"/>
      <c r="G12" s="2022"/>
      <c r="H12" s="686"/>
      <c r="J12" s="599"/>
      <c r="K12" s="687"/>
      <c r="L12" s="514" t="s">
        <v>844</v>
      </c>
      <c r="M12" s="514" t="s">
        <v>305</v>
      </c>
      <c r="N12" s="682"/>
      <c r="O12" s="688" t="s">
        <v>849</v>
      </c>
      <c r="P12" s="1953" t="s">
        <v>1074</v>
      </c>
      <c r="Q12" s="689" t="str">
        <f>"December "&amp;'OKT TCOS'!$N$2-1</f>
        <v>December 2018</v>
      </c>
      <c r="R12" s="689" t="str">
        <f>"January "&amp;'OKT TCOS'!$N$2</f>
        <v>January 2019</v>
      </c>
      <c r="S12" s="689" t="str">
        <f>"February "&amp;'OKT TCOS'!$N$2</f>
        <v>February 2019</v>
      </c>
      <c r="T12" s="689" t="str">
        <f>"March "&amp;'OKT TCOS'!$N$2</f>
        <v>March 2019</v>
      </c>
      <c r="U12" s="689" t="str">
        <f>"April "&amp;'OKT TCOS'!$N$2</f>
        <v>April 2019</v>
      </c>
      <c r="V12" s="689" t="str">
        <f>"May "&amp;'OKT TCOS'!$N$2</f>
        <v>May 2019</v>
      </c>
      <c r="W12" s="689" t="str">
        <f>"June "&amp;'OKT TCOS'!$N$2</f>
        <v>June 2019</v>
      </c>
      <c r="X12" s="689" t="str">
        <f>"July "&amp;'OKT TCOS'!$N$2</f>
        <v>July 2019</v>
      </c>
      <c r="Y12" s="689" t="str">
        <f>"August "&amp;'OKT TCOS'!$N$2</f>
        <v>August 2019</v>
      </c>
      <c r="Z12" s="689" t="str">
        <f>"September "&amp;'OKT TCOS'!$N$2</f>
        <v>September 2019</v>
      </c>
      <c r="AA12" s="689" t="str">
        <f>"October "&amp;'OKT TCOS'!$N$2</f>
        <v>October 2019</v>
      </c>
      <c r="AB12" s="689" t="str">
        <f>"November "&amp;'OKT TCOS'!$N$2</f>
        <v>November 2019</v>
      </c>
      <c r="AC12" s="689" t="str">
        <f>"December "&amp;'OKT TCOS'!$N$2</f>
        <v>December 2019</v>
      </c>
    </row>
    <row r="13" spans="1:29" ht="13">
      <c r="A13" s="684"/>
      <c r="B13" s="684"/>
      <c r="C13" s="677"/>
      <c r="D13" s="674"/>
      <c r="E13" s="132"/>
      <c r="F13" s="132"/>
      <c r="H13" s="690"/>
      <c r="J13" s="599"/>
      <c r="K13" s="687"/>
      <c r="L13" s="682"/>
      <c r="M13" s="682"/>
      <c r="N13" s="682"/>
      <c r="O13" s="682"/>
      <c r="P13" s="682"/>
      <c r="Q13" s="682"/>
    </row>
    <row r="14" spans="1:29">
      <c r="A14" s="684"/>
      <c r="B14" s="684"/>
      <c r="D14" s="519"/>
      <c r="E14" s="132"/>
      <c r="F14" s="132"/>
      <c r="G14" s="504"/>
      <c r="H14" s="504"/>
      <c r="K14" s="504"/>
      <c r="L14" s="682"/>
      <c r="M14" s="682"/>
      <c r="N14" s="682"/>
      <c r="O14" s="682"/>
      <c r="P14" s="682"/>
      <c r="Q14" s="682"/>
    </row>
    <row r="15" spans="1:29">
      <c r="A15" s="684"/>
      <c r="B15" s="684"/>
      <c r="C15" s="519"/>
      <c r="D15" s="519"/>
      <c r="E15" s="132"/>
      <c r="F15" s="132"/>
      <c r="G15" s="504"/>
      <c r="H15" s="504"/>
      <c r="K15" s="504"/>
      <c r="L15" s="682"/>
      <c r="M15" s="682"/>
      <c r="N15" s="682"/>
      <c r="O15" s="682"/>
      <c r="P15" s="691"/>
      <c r="Q15" s="682"/>
    </row>
    <row r="16" spans="1:29">
      <c r="A16" s="684">
        <v>1</v>
      </c>
      <c r="B16" s="684"/>
      <c r="C16" s="519" t="s">
        <v>194</v>
      </c>
      <c r="D16" s="692" t="s">
        <v>896</v>
      </c>
      <c r="E16" s="132"/>
      <c r="F16" s="132"/>
      <c r="G16" s="693">
        <f>+P16</f>
        <v>0</v>
      </c>
      <c r="H16" s="504"/>
      <c r="K16" s="504"/>
      <c r="L16" s="682">
        <v>1</v>
      </c>
      <c r="M16" s="519" t="s">
        <v>194</v>
      </c>
      <c r="O16" s="694" t="s">
        <v>132</v>
      </c>
      <c r="P16" s="1940">
        <f>+SUM(Q16:AC16)/13</f>
        <v>0</v>
      </c>
      <c r="Q16" s="564">
        <v>0</v>
      </c>
      <c r="R16" s="564">
        <v>0</v>
      </c>
      <c r="S16" s="564">
        <v>0</v>
      </c>
      <c r="T16" s="564">
        <v>0</v>
      </c>
      <c r="U16" s="564">
        <v>0</v>
      </c>
      <c r="V16" s="564">
        <v>0</v>
      </c>
      <c r="W16" s="564">
        <v>0</v>
      </c>
      <c r="X16" s="564">
        <v>0</v>
      </c>
      <c r="Y16" s="564">
        <v>0</v>
      </c>
      <c r="Z16" s="564">
        <v>0</v>
      </c>
      <c r="AA16" s="564">
        <v>0</v>
      </c>
      <c r="AB16" s="564">
        <v>0</v>
      </c>
      <c r="AC16" s="564">
        <v>0</v>
      </c>
    </row>
    <row r="17" spans="1:31">
      <c r="A17" s="684">
        <f>+A16+1</f>
        <v>2</v>
      </c>
      <c r="B17" s="684"/>
      <c r="C17" s="519" t="s">
        <v>195</v>
      </c>
      <c r="D17" s="692" t="s">
        <v>898</v>
      </c>
      <c r="E17" s="132"/>
      <c r="F17" s="132"/>
      <c r="G17" s="693">
        <f>+P17</f>
        <v>0</v>
      </c>
      <c r="H17" s="690"/>
      <c r="J17" s="599"/>
      <c r="K17" s="687"/>
      <c r="L17" s="684">
        <f>+L16+1</f>
        <v>2</v>
      </c>
      <c r="M17" s="519" t="s">
        <v>195</v>
      </c>
      <c r="O17" s="694" t="s">
        <v>133</v>
      </c>
      <c r="P17" s="1940">
        <f>+SUM(Q17:AC17)/13</f>
        <v>0</v>
      </c>
      <c r="Q17" s="572">
        <v>0</v>
      </c>
      <c r="R17" s="572"/>
      <c r="S17" s="572"/>
      <c r="T17" s="572"/>
      <c r="U17" s="572"/>
      <c r="V17" s="572"/>
      <c r="W17" s="572"/>
      <c r="X17" s="572"/>
      <c r="Y17" s="572"/>
      <c r="Z17" s="572"/>
      <c r="AA17" s="572"/>
      <c r="AB17" s="572"/>
      <c r="AC17" s="572">
        <v>0</v>
      </c>
    </row>
    <row r="18" spans="1:31">
      <c r="A18" s="684">
        <f>+A17+1</f>
        <v>3</v>
      </c>
      <c r="B18" s="684"/>
      <c r="C18" s="696" t="s">
        <v>895</v>
      </c>
      <c r="D18" s="692" t="s">
        <v>897</v>
      </c>
      <c r="E18" s="132"/>
      <c r="F18" s="132"/>
      <c r="G18" s="693">
        <f>+P18</f>
        <v>0</v>
      </c>
      <c r="H18" s="690"/>
      <c r="J18" s="599"/>
      <c r="K18" s="687"/>
      <c r="L18" s="684">
        <f>+L17+1</f>
        <v>3</v>
      </c>
      <c r="M18" s="696" t="s">
        <v>895</v>
      </c>
      <c r="O18" s="694" t="s">
        <v>134</v>
      </c>
      <c r="P18" s="1940">
        <f>+SUM(Q18:AC18)/13</f>
        <v>0</v>
      </c>
      <c r="Q18" s="572">
        <v>0</v>
      </c>
      <c r="R18" s="572"/>
      <c r="S18" s="572"/>
      <c r="T18" s="572"/>
      <c r="U18" s="572"/>
      <c r="V18" s="572"/>
      <c r="W18" s="572"/>
      <c r="X18" s="572"/>
      <c r="Y18" s="572"/>
      <c r="Z18" s="572"/>
      <c r="AA18" s="572"/>
      <c r="AB18" s="572"/>
      <c r="AC18" s="572">
        <v>0</v>
      </c>
    </row>
    <row r="19" spans="1:31">
      <c r="A19" s="668"/>
      <c r="G19" s="693"/>
      <c r="K19" s="687"/>
      <c r="M19" s="682"/>
      <c r="N19" s="682"/>
      <c r="O19" s="682"/>
      <c r="P19" s="691"/>
      <c r="Q19" s="682"/>
      <c r="R19" s="682"/>
      <c r="S19" s="682"/>
      <c r="T19" s="682"/>
      <c r="U19" s="682"/>
      <c r="V19" s="682"/>
      <c r="W19" s="682"/>
      <c r="X19" s="682"/>
      <c r="Y19" s="682"/>
      <c r="Z19" s="682"/>
      <c r="AA19" s="682"/>
      <c r="AB19" s="682"/>
    </row>
    <row r="20" spans="1:31" ht="18">
      <c r="A20" s="684"/>
      <c r="B20" s="2024" t="s">
        <v>840</v>
      </c>
      <c r="C20" s="2024"/>
      <c r="D20" s="2024"/>
      <c r="E20" s="2024"/>
      <c r="F20" s="2024"/>
      <c r="G20" s="2024"/>
      <c r="H20" s="2024"/>
      <c r="I20" s="2024"/>
      <c r="J20" s="2024"/>
      <c r="K20" s="2024"/>
      <c r="L20" s="684"/>
      <c r="M20" s="682"/>
      <c r="N20" s="682"/>
      <c r="O20" s="682"/>
      <c r="P20" s="682"/>
      <c r="Q20" s="682"/>
    </row>
    <row r="21" spans="1:31" ht="25.5" customHeight="1">
      <c r="A21" s="684"/>
      <c r="B21" s="510"/>
      <c r="C21" s="504"/>
      <c r="D21" s="504"/>
      <c r="E21" s="512"/>
      <c r="G21" s="512" t="s">
        <v>231</v>
      </c>
      <c r="I21" s="510"/>
      <c r="J21" s="510"/>
      <c r="K21" s="497"/>
      <c r="L21" s="684"/>
      <c r="M21" s="2024" t="s">
        <v>840</v>
      </c>
      <c r="N21" s="2024"/>
      <c r="O21" s="2024"/>
      <c r="P21" s="2024"/>
      <c r="Q21" s="2024"/>
      <c r="R21" s="2024"/>
      <c r="S21" s="2024"/>
      <c r="T21" s="2024"/>
      <c r="U21" s="2024"/>
      <c r="V21" s="2024"/>
      <c r="W21" s="2024"/>
      <c r="X21" s="2024"/>
      <c r="Y21" s="2024"/>
      <c r="Z21" s="2024"/>
      <c r="AA21" s="2024"/>
      <c r="AB21" s="2024"/>
      <c r="AC21" s="2024"/>
    </row>
    <row r="22" spans="1:31" ht="26">
      <c r="A22" s="684"/>
      <c r="B22" s="697"/>
      <c r="C22" s="698"/>
      <c r="D22" s="1939" t="s">
        <v>1071</v>
      </c>
      <c r="E22" s="510" t="s">
        <v>197</v>
      </c>
      <c r="G22" s="510" t="s">
        <v>254</v>
      </c>
      <c r="I22" s="510" t="s">
        <v>192</v>
      </c>
      <c r="J22" s="510" t="s">
        <v>299</v>
      </c>
      <c r="K22" s="497"/>
      <c r="L22" s="684"/>
      <c r="M22" s="699" t="s">
        <v>847</v>
      </c>
      <c r="N22" s="682"/>
      <c r="O22" s="682"/>
      <c r="P22" s="682"/>
      <c r="Q22" s="2027" t="s">
        <v>841</v>
      </c>
      <c r="R22" s="2027"/>
      <c r="S22" s="2027"/>
      <c r="T22" s="2027"/>
      <c r="U22" s="2027"/>
      <c r="V22" s="2027"/>
      <c r="W22" s="2027"/>
      <c r="X22" s="2027"/>
      <c r="Y22" s="2027"/>
      <c r="Z22" s="2027"/>
      <c r="AA22" s="2027"/>
      <c r="AB22" s="2027"/>
      <c r="AC22" s="2027"/>
    </row>
    <row r="23" spans="1:31" ht="26">
      <c r="A23" s="683" t="s">
        <v>844</v>
      </c>
      <c r="B23" s="514" t="s">
        <v>234</v>
      </c>
      <c r="C23" s="514" t="s">
        <v>305</v>
      </c>
      <c r="D23" s="683" t="str">
        <f>"Source - Page 2 of 2. Col "&amp;P7</f>
        <v>Source - Page 2 of 2. Col (D)</v>
      </c>
      <c r="E23" s="514" t="s">
        <v>177</v>
      </c>
      <c r="G23" s="514" t="s">
        <v>193</v>
      </c>
      <c r="I23" s="514" t="s">
        <v>193</v>
      </c>
      <c r="J23" s="514" t="s">
        <v>193</v>
      </c>
      <c r="K23" s="514" t="s">
        <v>216</v>
      </c>
      <c r="L23" s="514" t="s">
        <v>844</v>
      </c>
      <c r="M23" s="514" t="s">
        <v>234</v>
      </c>
      <c r="N23" s="514" t="s">
        <v>305</v>
      </c>
      <c r="O23" s="685"/>
      <c r="P23" s="1953" t="s">
        <v>1074</v>
      </c>
      <c r="Q23" s="689" t="str">
        <f>"December "&amp;'OKT TCOS'!$N$2-1</f>
        <v>December 2018</v>
      </c>
      <c r="R23" s="689" t="str">
        <f>"January "&amp;'OKT TCOS'!$N$2</f>
        <v>January 2019</v>
      </c>
      <c r="S23" s="689" t="str">
        <f>"February "&amp;'OKT TCOS'!$N$2</f>
        <v>February 2019</v>
      </c>
      <c r="T23" s="689" t="str">
        <f>"March "&amp;'OKT TCOS'!$N$2</f>
        <v>March 2019</v>
      </c>
      <c r="U23" s="689" t="str">
        <f>"April "&amp;'OKT TCOS'!$N$2</f>
        <v>April 2019</v>
      </c>
      <c r="V23" s="689" t="str">
        <f>"May "&amp;'OKT TCOS'!$N$2</f>
        <v>May 2019</v>
      </c>
      <c r="W23" s="689" t="str">
        <f>"June "&amp;'OKT TCOS'!$N$2</f>
        <v>June 2019</v>
      </c>
      <c r="X23" s="689" t="str">
        <f>"July "&amp;'OKT TCOS'!$N$2</f>
        <v>July 2019</v>
      </c>
      <c r="Y23" s="689" t="str">
        <f>"August "&amp;'OKT TCOS'!$N$2</f>
        <v>August 2019</v>
      </c>
      <c r="Z23" s="689" t="str">
        <f>"September "&amp;'OKT TCOS'!$N$2</f>
        <v>September 2019</v>
      </c>
      <c r="AA23" s="689" t="str">
        <f>"October "&amp;'OKT TCOS'!$N$2</f>
        <v>October 2019</v>
      </c>
      <c r="AB23" s="689" t="str">
        <f>"November "&amp;'OKT TCOS'!$N$2</f>
        <v>November 2019</v>
      </c>
      <c r="AC23" s="689" t="str">
        <f>"December "&amp;'OKT TCOS'!$N$2</f>
        <v>December 2019</v>
      </c>
      <c r="AD23" s="682"/>
      <c r="AE23" s="682"/>
    </row>
    <row r="24" spans="1:31">
      <c r="A24" s="684"/>
      <c r="B24" s="697"/>
      <c r="C24" s="504"/>
      <c r="D24" s="504"/>
      <c r="E24" s="504"/>
      <c r="G24" s="504"/>
      <c r="I24" s="504"/>
      <c r="J24" s="504"/>
      <c r="K24" s="497"/>
      <c r="L24" s="684"/>
      <c r="M24" s="682"/>
      <c r="N24" s="682"/>
      <c r="O24" s="682"/>
      <c r="P24" s="682"/>
      <c r="Q24" s="682"/>
    </row>
    <row r="25" spans="1:31">
      <c r="A25" s="550">
        <f>+A18+1</f>
        <v>4</v>
      </c>
      <c r="B25" s="700" t="s">
        <v>584</v>
      </c>
      <c r="C25" s="700" t="s">
        <v>982</v>
      </c>
      <c r="D25" s="693">
        <f>+P25</f>
        <v>42098.023076923084</v>
      </c>
      <c r="E25" s="693"/>
      <c r="F25" s="701"/>
      <c r="G25" s="601"/>
      <c r="H25" s="701"/>
      <c r="I25" s="702">
        <f>+D25</f>
        <v>42098.023076923084</v>
      </c>
      <c r="J25" s="702"/>
      <c r="K25" s="703"/>
      <c r="L25" s="550">
        <f>+L18+1</f>
        <v>4</v>
      </c>
      <c r="M25" s="700" t="str">
        <f t="shared" ref="M25:M27" si="0">+B25</f>
        <v>1650001</v>
      </c>
      <c r="N25" s="700" t="str">
        <f t="shared" ref="N25:N27" si="1">+C25</f>
        <v xml:space="preserve">Prepaid Insurance </v>
      </c>
      <c r="O25" s="700"/>
      <c r="P25" s="1940">
        <f t="shared" ref="P25:P49" si="2">+SUM(Q25:AC25)/13</f>
        <v>42098.023076923084</v>
      </c>
      <c r="Q25" s="564">
        <v>46250.64</v>
      </c>
      <c r="R25" s="564">
        <v>38537.39</v>
      </c>
      <c r="S25" s="564">
        <v>30824.14</v>
      </c>
      <c r="T25" s="564">
        <v>23110.89</v>
      </c>
      <c r="U25" s="564">
        <v>15397.69</v>
      </c>
      <c r="V25" s="564">
        <v>39894.379999999997</v>
      </c>
      <c r="W25" s="564">
        <v>32080.84</v>
      </c>
      <c r="X25" s="564">
        <v>65555.509999999995</v>
      </c>
      <c r="Y25" s="564">
        <v>57700.3</v>
      </c>
      <c r="Z25" s="564">
        <v>49855.090000000004</v>
      </c>
      <c r="AA25" s="564">
        <v>56670.9</v>
      </c>
      <c r="AB25" s="564">
        <v>49355.81</v>
      </c>
      <c r="AC25" s="564">
        <v>42040.72</v>
      </c>
    </row>
    <row r="26" spans="1:31">
      <c r="A26" s="550">
        <f t="shared" ref="A26:A49" si="3">+A25+1</f>
        <v>5</v>
      </c>
      <c r="B26" s="700" t="s">
        <v>983</v>
      </c>
      <c r="C26" s="700" t="s">
        <v>585</v>
      </c>
      <c r="D26" s="693">
        <f t="shared" ref="D26:D49" si="4">+P26</f>
        <v>21510.175384615381</v>
      </c>
      <c r="E26" s="693"/>
      <c r="F26" s="701"/>
      <c r="G26" s="601"/>
      <c r="H26" s="701"/>
      <c r="I26" s="601">
        <f>+D26</f>
        <v>21510.175384615381</v>
      </c>
      <c r="J26" s="601"/>
      <c r="K26" s="703"/>
      <c r="L26" s="550">
        <f t="shared" ref="L26:L49" si="5">+L25+1</f>
        <v>5</v>
      </c>
      <c r="M26" s="700" t="str">
        <f t="shared" si="0"/>
        <v>1650021</v>
      </c>
      <c r="N26" s="700" t="str">
        <f t="shared" si="1"/>
        <v>Prepaid Insurance - EIS</v>
      </c>
      <c r="O26" s="700"/>
      <c r="P26" s="1940">
        <f t="shared" si="2"/>
        <v>21510.175384615381</v>
      </c>
      <c r="Q26" s="564">
        <v>20579.25</v>
      </c>
      <c r="R26" s="564">
        <v>17149.38</v>
      </c>
      <c r="S26" s="564">
        <v>13719.51</v>
      </c>
      <c r="T26" s="564">
        <v>10289.64</v>
      </c>
      <c r="U26" s="564">
        <v>6859.77</v>
      </c>
      <c r="V26" s="564">
        <v>3429.9</v>
      </c>
      <c r="W26" s="564">
        <v>0</v>
      </c>
      <c r="X26" s="564">
        <v>44777.53</v>
      </c>
      <c r="Y26" s="564">
        <v>40706.840000000004</v>
      </c>
      <c r="Z26" s="564">
        <v>36636.15</v>
      </c>
      <c r="AA26" s="564">
        <v>32565.46</v>
      </c>
      <c r="AB26" s="564">
        <v>28494.77</v>
      </c>
      <c r="AC26" s="564">
        <v>24424.080000000002</v>
      </c>
    </row>
    <row r="27" spans="1:31">
      <c r="A27" s="550">
        <f t="shared" si="3"/>
        <v>6</v>
      </c>
      <c r="B27" s="704" t="s">
        <v>984</v>
      </c>
      <c r="C27" s="700" t="s">
        <v>985</v>
      </c>
      <c r="D27" s="693">
        <f t="shared" si="4"/>
        <v>55675.18461538462</v>
      </c>
      <c r="E27" s="693"/>
      <c r="F27" s="701"/>
      <c r="G27" s="601">
        <f>+D27</f>
        <v>55675.18461538462</v>
      </c>
      <c r="H27" s="701"/>
      <c r="I27" s="601"/>
      <c r="J27" s="601"/>
      <c r="K27" s="703"/>
      <c r="L27" s="550">
        <f t="shared" si="5"/>
        <v>6</v>
      </c>
      <c r="M27" s="705" t="str">
        <f t="shared" si="0"/>
        <v>1650023</v>
      </c>
      <c r="N27" s="700" t="str">
        <f t="shared" si="1"/>
        <v>Prepaid Lease</v>
      </c>
      <c r="O27" s="700"/>
      <c r="P27" s="1940">
        <f t="shared" si="2"/>
        <v>55675.18461538462</v>
      </c>
      <c r="Q27" s="564">
        <v>83569.88</v>
      </c>
      <c r="R27" s="564">
        <v>0</v>
      </c>
      <c r="S27" s="564">
        <v>0</v>
      </c>
      <c r="T27" s="564">
        <v>113568.88</v>
      </c>
      <c r="U27" s="564">
        <v>0</v>
      </c>
      <c r="V27" s="564">
        <v>0</v>
      </c>
      <c r="W27" s="564">
        <v>144712.88</v>
      </c>
      <c r="X27" s="564">
        <v>0</v>
      </c>
      <c r="Y27" s="564">
        <v>0</v>
      </c>
      <c r="Z27" s="564">
        <v>164712.88</v>
      </c>
      <c r="AA27" s="564">
        <v>0</v>
      </c>
      <c r="AB27" s="564">
        <v>0</v>
      </c>
      <c r="AC27" s="564">
        <v>217212.88</v>
      </c>
    </row>
    <row r="28" spans="1:31">
      <c r="A28" s="550">
        <f t="shared" si="3"/>
        <v>7</v>
      </c>
      <c r="B28" s="700"/>
      <c r="C28" s="700"/>
      <c r="D28" s="693">
        <f t="shared" si="4"/>
        <v>0</v>
      </c>
      <c r="E28" s="693"/>
      <c r="F28" s="701"/>
      <c r="G28" s="601"/>
      <c r="H28" s="701"/>
      <c r="I28" s="601"/>
      <c r="J28" s="601"/>
      <c r="K28" s="703"/>
      <c r="L28" s="550">
        <f t="shared" si="5"/>
        <v>7</v>
      </c>
      <c r="M28" s="705"/>
      <c r="N28" s="700"/>
      <c r="O28" s="700"/>
      <c r="P28" s="1940">
        <f t="shared" si="2"/>
        <v>0</v>
      </c>
      <c r="Q28" s="564"/>
      <c r="R28" s="564"/>
      <c r="S28" s="564"/>
      <c r="T28" s="564"/>
      <c r="U28" s="564"/>
      <c r="V28" s="564"/>
      <c r="W28" s="564"/>
      <c r="X28" s="564"/>
      <c r="Y28" s="564"/>
      <c r="Z28" s="564"/>
      <c r="AA28" s="564"/>
      <c r="AB28" s="564"/>
      <c r="AC28" s="564"/>
    </row>
    <row r="29" spans="1:31">
      <c r="A29" s="550">
        <f t="shared" si="3"/>
        <v>8</v>
      </c>
      <c r="B29" s="700"/>
      <c r="C29" s="700"/>
      <c r="D29" s="601">
        <f t="shared" si="4"/>
        <v>0</v>
      </c>
      <c r="E29" s="601"/>
      <c r="F29" s="701"/>
      <c r="G29" s="601"/>
      <c r="H29" s="701"/>
      <c r="I29" s="601"/>
      <c r="J29" s="601"/>
      <c r="K29" s="703"/>
      <c r="L29" s="550">
        <f t="shared" si="5"/>
        <v>8</v>
      </c>
      <c r="M29" s="705"/>
      <c r="N29" s="700"/>
      <c r="O29" s="700"/>
      <c r="P29" s="1940">
        <f t="shared" si="2"/>
        <v>0</v>
      </c>
      <c r="Q29" s="564"/>
      <c r="R29" s="564"/>
      <c r="S29" s="564"/>
      <c r="T29" s="564"/>
      <c r="U29" s="564"/>
      <c r="V29" s="564"/>
      <c r="W29" s="564"/>
      <c r="X29" s="564"/>
      <c r="Y29" s="564"/>
      <c r="Z29" s="564"/>
      <c r="AA29" s="564"/>
      <c r="AB29" s="564"/>
      <c r="AC29" s="564"/>
    </row>
    <row r="30" spans="1:31">
      <c r="A30" s="550">
        <f t="shared" si="3"/>
        <v>9</v>
      </c>
      <c r="B30" s="700"/>
      <c r="C30" s="700"/>
      <c r="D30" s="706">
        <f t="shared" si="4"/>
        <v>0</v>
      </c>
      <c r="E30" s="706"/>
      <c r="F30" s="701"/>
      <c r="G30" s="706"/>
      <c r="H30" s="707"/>
      <c r="I30" s="706"/>
      <c r="J30" s="706"/>
      <c r="K30" s="703"/>
      <c r="L30" s="550">
        <f t="shared" si="5"/>
        <v>9</v>
      </c>
      <c r="M30" s="705"/>
      <c r="N30" s="700"/>
      <c r="O30" s="700"/>
      <c r="P30" s="1940">
        <f t="shared" si="2"/>
        <v>0</v>
      </c>
      <c r="Q30" s="564"/>
      <c r="R30" s="564"/>
      <c r="S30" s="564"/>
      <c r="T30" s="564"/>
      <c r="U30" s="564"/>
      <c r="V30" s="564"/>
      <c r="W30" s="564"/>
      <c r="X30" s="564"/>
      <c r="Y30" s="564"/>
      <c r="Z30" s="564"/>
      <c r="AA30" s="564"/>
      <c r="AB30" s="564"/>
      <c r="AC30" s="564"/>
    </row>
    <row r="31" spans="1:31">
      <c r="A31" s="550">
        <f t="shared" si="3"/>
        <v>10</v>
      </c>
      <c r="B31" s="704"/>
      <c r="C31" s="700"/>
      <c r="D31" s="601">
        <f t="shared" si="4"/>
        <v>0</v>
      </c>
      <c r="E31" s="601"/>
      <c r="F31" s="701"/>
      <c r="G31" s="601"/>
      <c r="H31" s="707"/>
      <c r="I31" s="601"/>
      <c r="J31" s="601"/>
      <c r="K31" s="703"/>
      <c r="L31" s="550">
        <f t="shared" si="5"/>
        <v>10</v>
      </c>
      <c r="M31" s="705"/>
      <c r="N31" s="700"/>
      <c r="O31" s="700"/>
      <c r="P31" s="1940">
        <f t="shared" si="2"/>
        <v>0</v>
      </c>
      <c r="Q31" s="564"/>
      <c r="R31" s="564"/>
      <c r="S31" s="564"/>
      <c r="T31" s="564"/>
      <c r="U31" s="564"/>
      <c r="V31" s="564"/>
      <c r="W31" s="564"/>
      <c r="X31" s="564"/>
      <c r="Y31" s="564"/>
      <c r="Z31" s="564"/>
      <c r="AA31" s="564"/>
      <c r="AB31" s="564"/>
      <c r="AC31" s="564"/>
    </row>
    <row r="32" spans="1:31">
      <c r="A32" s="550">
        <f t="shared" si="3"/>
        <v>11</v>
      </c>
      <c r="B32" s="704"/>
      <c r="C32" s="700"/>
      <c r="D32" s="601">
        <f t="shared" si="4"/>
        <v>0</v>
      </c>
      <c r="E32" s="601"/>
      <c r="F32" s="701"/>
      <c r="G32" s="601"/>
      <c r="H32" s="707"/>
      <c r="I32" s="708"/>
      <c r="J32" s="708"/>
      <c r="K32" s="703"/>
      <c r="L32" s="550">
        <f t="shared" si="5"/>
        <v>11</v>
      </c>
      <c r="M32" s="705"/>
      <c r="N32" s="700"/>
      <c r="O32" s="700"/>
      <c r="P32" s="1940">
        <f t="shared" si="2"/>
        <v>0</v>
      </c>
      <c r="Q32" s="564"/>
      <c r="R32" s="564"/>
      <c r="S32" s="564"/>
      <c r="T32" s="564"/>
      <c r="U32" s="564"/>
      <c r="V32" s="564"/>
      <c r="W32" s="564"/>
      <c r="X32" s="564"/>
      <c r="Y32" s="564"/>
      <c r="Z32" s="564"/>
      <c r="AA32" s="564"/>
      <c r="AB32" s="564"/>
      <c r="AC32" s="564"/>
    </row>
    <row r="33" spans="1:29">
      <c r="A33" s="550">
        <f t="shared" si="3"/>
        <v>12</v>
      </c>
      <c r="B33" s="700"/>
      <c r="C33" s="700"/>
      <c r="D33" s="601">
        <f t="shared" si="4"/>
        <v>0</v>
      </c>
      <c r="E33" s="601"/>
      <c r="F33" s="701"/>
      <c r="G33" s="601"/>
      <c r="H33" s="707"/>
      <c r="I33" s="601"/>
      <c r="J33" s="601"/>
      <c r="K33" s="703"/>
      <c r="L33" s="550">
        <f t="shared" si="5"/>
        <v>12</v>
      </c>
      <c r="M33" s="705"/>
      <c r="N33" s="700"/>
      <c r="O33" s="700"/>
      <c r="P33" s="1940">
        <f t="shared" si="2"/>
        <v>0</v>
      </c>
      <c r="Q33" s="564"/>
      <c r="R33" s="564"/>
      <c r="S33" s="564"/>
      <c r="T33" s="564"/>
      <c r="U33" s="564"/>
      <c r="V33" s="564"/>
      <c r="W33" s="564"/>
      <c r="X33" s="564"/>
      <c r="Y33" s="564"/>
      <c r="Z33" s="564"/>
      <c r="AA33" s="564"/>
      <c r="AB33" s="564"/>
      <c r="AC33" s="564"/>
    </row>
    <row r="34" spans="1:29">
      <c r="A34" s="550">
        <f t="shared" si="3"/>
        <v>13</v>
      </c>
      <c r="B34" s="709"/>
      <c r="C34" s="700"/>
      <c r="D34" s="601">
        <f t="shared" si="4"/>
        <v>0</v>
      </c>
      <c r="E34" s="601"/>
      <c r="F34" s="701"/>
      <c r="G34" s="601"/>
      <c r="H34" s="707"/>
      <c r="I34" s="710"/>
      <c r="J34" s="710"/>
      <c r="K34" s="703"/>
      <c r="L34" s="550">
        <f t="shared" si="5"/>
        <v>13</v>
      </c>
      <c r="M34" s="705"/>
      <c r="N34" s="700"/>
      <c r="O34" s="700"/>
      <c r="P34" s="1940">
        <f t="shared" si="2"/>
        <v>0</v>
      </c>
      <c r="Q34" s="564"/>
      <c r="R34" s="564"/>
      <c r="S34" s="564"/>
      <c r="T34" s="564"/>
      <c r="U34" s="564"/>
      <c r="V34" s="564"/>
      <c r="W34" s="564"/>
      <c r="X34" s="564"/>
      <c r="Y34" s="564"/>
      <c r="Z34" s="564"/>
      <c r="AA34" s="564"/>
      <c r="AB34" s="564"/>
      <c r="AC34" s="564"/>
    </row>
    <row r="35" spans="1:29">
      <c r="A35" s="550">
        <f t="shared" si="3"/>
        <v>14</v>
      </c>
      <c r="B35" s="709"/>
      <c r="C35" s="700"/>
      <c r="D35" s="601">
        <f t="shared" si="4"/>
        <v>0</v>
      </c>
      <c r="E35" s="601"/>
      <c r="F35" s="701"/>
      <c r="G35" s="601"/>
      <c r="H35" s="707"/>
      <c r="I35" s="702"/>
      <c r="J35" s="702"/>
      <c r="K35" s="703"/>
      <c r="L35" s="550">
        <f t="shared" si="5"/>
        <v>14</v>
      </c>
      <c r="M35" s="705"/>
      <c r="N35" s="700"/>
      <c r="O35" s="700"/>
      <c r="P35" s="1940">
        <f t="shared" si="2"/>
        <v>0</v>
      </c>
      <c r="Q35" s="564"/>
      <c r="R35" s="564"/>
      <c r="S35" s="564"/>
      <c r="T35" s="564"/>
      <c r="U35" s="564"/>
      <c r="V35" s="564"/>
      <c r="W35" s="564"/>
      <c r="X35" s="564"/>
      <c r="Y35" s="564"/>
      <c r="Z35" s="564"/>
      <c r="AA35" s="564"/>
      <c r="AB35" s="564"/>
      <c r="AC35" s="564"/>
    </row>
    <row r="36" spans="1:29">
      <c r="A36" s="550">
        <f t="shared" si="3"/>
        <v>15</v>
      </c>
      <c r="B36" s="709"/>
      <c r="C36" s="700"/>
      <c r="D36" s="601">
        <f t="shared" si="4"/>
        <v>0</v>
      </c>
      <c r="E36" s="601"/>
      <c r="F36" s="701"/>
      <c r="G36" s="601"/>
      <c r="H36" s="707"/>
      <c r="I36" s="601"/>
      <c r="J36" s="601"/>
      <c r="K36" s="562"/>
      <c r="L36" s="550">
        <f t="shared" si="5"/>
        <v>15</v>
      </c>
      <c r="M36" s="705"/>
      <c r="N36" s="700"/>
      <c r="O36" s="700"/>
      <c r="P36" s="1940">
        <f t="shared" si="2"/>
        <v>0</v>
      </c>
      <c r="Q36" s="564"/>
      <c r="R36" s="564"/>
      <c r="S36" s="564"/>
      <c r="T36" s="564"/>
      <c r="U36" s="564"/>
      <c r="V36" s="564"/>
      <c r="W36" s="564"/>
      <c r="X36" s="564"/>
      <c r="Y36" s="564"/>
      <c r="Z36" s="564"/>
      <c r="AA36" s="564"/>
      <c r="AB36" s="564"/>
      <c r="AC36" s="564"/>
    </row>
    <row r="37" spans="1:29">
      <c r="A37" s="550">
        <f t="shared" si="3"/>
        <v>16</v>
      </c>
      <c r="B37" s="709"/>
      <c r="C37" s="700"/>
      <c r="D37" s="601">
        <f t="shared" si="4"/>
        <v>0</v>
      </c>
      <c r="E37" s="601"/>
      <c r="F37" s="701"/>
      <c r="G37" s="601"/>
      <c r="H37" s="707"/>
      <c r="I37" s="132"/>
      <c r="J37" s="132"/>
      <c r="K37" s="562"/>
      <c r="L37" s="550">
        <f t="shared" si="5"/>
        <v>16</v>
      </c>
      <c r="M37" s="705"/>
      <c r="N37" s="700"/>
      <c r="O37" s="700"/>
      <c r="P37" s="1940">
        <f t="shared" si="2"/>
        <v>0</v>
      </c>
      <c r="Q37" s="564"/>
      <c r="R37" s="564"/>
      <c r="S37" s="564"/>
      <c r="T37" s="564"/>
      <c r="U37" s="564"/>
      <c r="V37" s="564"/>
      <c r="W37" s="564"/>
      <c r="X37" s="564"/>
      <c r="Y37" s="564"/>
      <c r="Z37" s="564"/>
      <c r="AA37" s="564"/>
      <c r="AB37" s="564"/>
      <c r="AC37" s="564"/>
    </row>
    <row r="38" spans="1:29">
      <c r="A38" s="550">
        <f t="shared" si="3"/>
        <v>17</v>
      </c>
      <c r="B38" s="709"/>
      <c r="C38" s="700"/>
      <c r="D38" s="601">
        <f t="shared" si="4"/>
        <v>0</v>
      </c>
      <c r="E38" s="601"/>
      <c r="F38" s="701"/>
      <c r="G38" s="601"/>
      <c r="H38" s="707"/>
      <c r="I38" s="601"/>
      <c r="J38" s="601"/>
      <c r="K38" s="562"/>
      <c r="L38" s="550">
        <f t="shared" si="5"/>
        <v>17</v>
      </c>
      <c r="M38" s="705"/>
      <c r="N38" s="700"/>
      <c r="O38" s="700"/>
      <c r="P38" s="1940">
        <f t="shared" si="2"/>
        <v>0</v>
      </c>
      <c r="Q38" s="564"/>
      <c r="R38" s="564"/>
      <c r="S38" s="564"/>
      <c r="T38" s="564"/>
      <c r="U38" s="564"/>
      <c r="V38" s="564"/>
      <c r="W38" s="564"/>
      <c r="X38" s="564"/>
      <c r="Y38" s="564"/>
      <c r="Z38" s="564"/>
      <c r="AA38" s="564"/>
      <c r="AB38" s="564"/>
      <c r="AC38" s="564"/>
    </row>
    <row r="39" spans="1:29">
      <c r="A39" s="550">
        <f t="shared" si="3"/>
        <v>18</v>
      </c>
      <c r="B39" s="709"/>
      <c r="C39" s="700"/>
      <c r="D39" s="601">
        <f t="shared" si="4"/>
        <v>0</v>
      </c>
      <c r="E39" s="601"/>
      <c r="F39" s="701"/>
      <c r="G39" s="601"/>
      <c r="H39" s="707"/>
      <c r="I39" s="601"/>
      <c r="J39" s="601"/>
      <c r="K39" s="562"/>
      <c r="L39" s="550">
        <f t="shared" si="5"/>
        <v>18</v>
      </c>
      <c r="M39" s="705"/>
      <c r="N39" s="700"/>
      <c r="O39" s="700"/>
      <c r="P39" s="1940">
        <f t="shared" si="2"/>
        <v>0</v>
      </c>
      <c r="Q39" s="564"/>
      <c r="R39" s="564"/>
      <c r="S39" s="564"/>
      <c r="T39" s="564"/>
      <c r="U39" s="564"/>
      <c r="V39" s="564"/>
      <c r="W39" s="564"/>
      <c r="X39" s="564"/>
      <c r="Y39" s="564"/>
      <c r="Z39" s="564"/>
      <c r="AA39" s="564"/>
      <c r="AB39" s="564"/>
      <c r="AC39" s="564"/>
    </row>
    <row r="40" spans="1:29">
      <c r="A40" s="550">
        <f t="shared" si="3"/>
        <v>19</v>
      </c>
      <c r="B40" s="709"/>
      <c r="C40" s="700"/>
      <c r="D40" s="601">
        <f t="shared" si="4"/>
        <v>0</v>
      </c>
      <c r="E40" s="601"/>
      <c r="F40" s="701"/>
      <c r="G40" s="601"/>
      <c r="H40" s="707"/>
      <c r="I40" s="601"/>
      <c r="J40" s="601"/>
      <c r="K40" s="562"/>
      <c r="L40" s="550">
        <f t="shared" si="5"/>
        <v>19</v>
      </c>
      <c r="M40" s="705"/>
      <c r="N40" s="700"/>
      <c r="O40" s="700"/>
      <c r="P40" s="1940">
        <f t="shared" si="2"/>
        <v>0</v>
      </c>
      <c r="Q40" s="564"/>
      <c r="R40" s="564"/>
      <c r="S40" s="564"/>
      <c r="T40" s="564"/>
      <c r="U40" s="564"/>
      <c r="V40" s="564"/>
      <c r="W40" s="564"/>
      <c r="X40" s="564"/>
      <c r="Y40" s="564"/>
      <c r="Z40" s="564"/>
      <c r="AA40" s="564"/>
      <c r="AB40" s="564"/>
      <c r="AC40" s="564"/>
    </row>
    <row r="41" spans="1:29">
      <c r="A41" s="550">
        <f t="shared" si="3"/>
        <v>20</v>
      </c>
      <c r="B41" s="709"/>
      <c r="C41" s="700"/>
      <c r="D41" s="601">
        <f t="shared" si="4"/>
        <v>0</v>
      </c>
      <c r="E41" s="601"/>
      <c r="F41" s="701"/>
      <c r="G41" s="601"/>
      <c r="H41" s="707"/>
      <c r="I41" s="601"/>
      <c r="J41" s="601"/>
      <c r="K41" s="562"/>
      <c r="L41" s="550">
        <f t="shared" si="5"/>
        <v>20</v>
      </c>
      <c r="M41" s="705"/>
      <c r="N41" s="700"/>
      <c r="O41" s="700"/>
      <c r="P41" s="1940">
        <f t="shared" si="2"/>
        <v>0</v>
      </c>
      <c r="Q41" s="564"/>
      <c r="R41" s="564"/>
      <c r="S41" s="564"/>
      <c r="T41" s="564"/>
      <c r="U41" s="564"/>
      <c r="V41" s="564"/>
      <c r="W41" s="564"/>
      <c r="X41" s="564"/>
      <c r="Y41" s="564"/>
      <c r="Z41" s="564"/>
      <c r="AA41" s="564"/>
      <c r="AB41" s="564"/>
      <c r="AC41" s="564"/>
    </row>
    <row r="42" spans="1:29">
      <c r="A42" s="550">
        <f t="shared" si="3"/>
        <v>21</v>
      </c>
      <c r="B42" s="709"/>
      <c r="C42" s="700"/>
      <c r="D42" s="601">
        <f t="shared" si="4"/>
        <v>0</v>
      </c>
      <c r="E42" s="601"/>
      <c r="F42" s="701"/>
      <c r="G42" s="601"/>
      <c r="H42" s="707"/>
      <c r="I42" s="601"/>
      <c r="J42" s="706"/>
      <c r="K42" s="562"/>
      <c r="L42" s="550">
        <f t="shared" si="5"/>
        <v>21</v>
      </c>
      <c r="M42" s="705"/>
      <c r="N42" s="700"/>
      <c r="O42" s="700"/>
      <c r="P42" s="1940">
        <f t="shared" si="2"/>
        <v>0</v>
      </c>
      <c r="Q42" s="564"/>
      <c r="R42" s="564"/>
      <c r="S42" s="564"/>
      <c r="T42" s="564"/>
      <c r="U42" s="564"/>
      <c r="V42" s="564"/>
      <c r="W42" s="564"/>
      <c r="X42" s="564"/>
      <c r="Y42" s="564"/>
      <c r="Z42" s="564"/>
      <c r="AA42" s="564"/>
      <c r="AB42" s="564"/>
      <c r="AC42" s="564"/>
    </row>
    <row r="43" spans="1:29">
      <c r="A43" s="550">
        <f t="shared" si="3"/>
        <v>22</v>
      </c>
      <c r="B43" s="709"/>
      <c r="C43" s="700"/>
      <c r="D43" s="601">
        <f t="shared" si="4"/>
        <v>0</v>
      </c>
      <c r="E43" s="601"/>
      <c r="F43" s="701"/>
      <c r="G43" s="601"/>
      <c r="H43" s="707"/>
      <c r="I43" s="601"/>
      <c r="J43" s="706"/>
      <c r="K43" s="562"/>
      <c r="L43" s="550">
        <f t="shared" si="5"/>
        <v>22</v>
      </c>
      <c r="M43" s="705"/>
      <c r="N43" s="700"/>
      <c r="O43" s="700"/>
      <c r="P43" s="1940">
        <f t="shared" si="2"/>
        <v>0</v>
      </c>
      <c r="Q43" s="564"/>
      <c r="R43" s="564"/>
      <c r="S43" s="564"/>
      <c r="T43" s="564"/>
      <c r="U43" s="564"/>
      <c r="V43" s="564"/>
      <c r="W43" s="564"/>
      <c r="X43" s="564"/>
      <c r="Y43" s="564"/>
      <c r="Z43" s="564"/>
      <c r="AA43" s="564"/>
      <c r="AB43" s="564"/>
      <c r="AC43" s="564"/>
    </row>
    <row r="44" spans="1:29">
      <c r="A44" s="550">
        <f t="shared" si="3"/>
        <v>23</v>
      </c>
      <c r="B44" s="709"/>
      <c r="C44" s="700"/>
      <c r="D44" s="601">
        <f t="shared" si="4"/>
        <v>0</v>
      </c>
      <c r="E44" s="601"/>
      <c r="F44" s="701"/>
      <c r="G44" s="601"/>
      <c r="H44" s="707"/>
      <c r="I44" s="601"/>
      <c r="J44" s="706"/>
      <c r="K44" s="562"/>
      <c r="L44" s="550">
        <f t="shared" si="5"/>
        <v>23</v>
      </c>
      <c r="M44" s="705"/>
      <c r="N44" s="700"/>
      <c r="O44" s="700"/>
      <c r="P44" s="1940">
        <f t="shared" si="2"/>
        <v>0</v>
      </c>
      <c r="Q44" s="564"/>
      <c r="R44" s="564"/>
      <c r="S44" s="564"/>
      <c r="T44" s="564"/>
      <c r="U44" s="564"/>
      <c r="V44" s="564"/>
      <c r="W44" s="564"/>
      <c r="X44" s="564"/>
      <c r="Y44" s="564"/>
      <c r="Z44" s="564"/>
      <c r="AA44" s="564"/>
      <c r="AB44" s="564"/>
      <c r="AC44" s="564"/>
    </row>
    <row r="45" spans="1:29">
      <c r="A45" s="550">
        <f t="shared" si="3"/>
        <v>24</v>
      </c>
      <c r="B45" s="709"/>
      <c r="C45" s="700"/>
      <c r="D45" s="601">
        <f t="shared" si="4"/>
        <v>0</v>
      </c>
      <c r="E45" s="601"/>
      <c r="F45" s="701"/>
      <c r="G45" s="601"/>
      <c r="H45" s="707"/>
      <c r="I45" s="601"/>
      <c r="J45" s="706"/>
      <c r="K45" s="562"/>
      <c r="L45" s="550">
        <f t="shared" si="5"/>
        <v>24</v>
      </c>
      <c r="M45" s="705"/>
      <c r="N45" s="711"/>
      <c r="O45" s="711"/>
      <c r="P45" s="1940">
        <f t="shared" si="2"/>
        <v>0</v>
      </c>
      <c r="Q45" s="564"/>
      <c r="R45" s="564"/>
      <c r="S45" s="564"/>
      <c r="T45" s="564"/>
      <c r="U45" s="564"/>
      <c r="V45" s="564"/>
      <c r="W45" s="564"/>
      <c r="X45" s="564"/>
      <c r="Y45" s="564"/>
      <c r="Z45" s="564"/>
      <c r="AA45" s="564"/>
      <c r="AB45" s="564"/>
      <c r="AC45" s="564"/>
    </row>
    <row r="46" spans="1:29">
      <c r="A46" s="550">
        <f t="shared" si="3"/>
        <v>25</v>
      </c>
      <c r="B46" s="712"/>
      <c r="C46" s="713"/>
      <c r="D46" s="601">
        <f t="shared" si="4"/>
        <v>0</v>
      </c>
      <c r="E46" s="601"/>
      <c r="F46" s="714"/>
      <c r="G46" s="715"/>
      <c r="H46" s="716"/>
      <c r="I46" s="715"/>
      <c r="J46" s="715"/>
      <c r="K46" s="605"/>
      <c r="L46" s="550">
        <f t="shared" si="5"/>
        <v>25</v>
      </c>
      <c r="M46" s="705"/>
      <c r="N46" s="711"/>
      <c r="O46" s="711"/>
      <c r="P46" s="1940">
        <f t="shared" si="2"/>
        <v>0</v>
      </c>
      <c r="Q46" s="717"/>
      <c r="R46" s="717"/>
      <c r="S46" s="717"/>
      <c r="T46" s="717"/>
      <c r="U46" s="717"/>
      <c r="V46" s="717"/>
      <c r="W46" s="717"/>
      <c r="X46" s="717"/>
      <c r="Y46" s="717"/>
      <c r="Z46" s="717"/>
      <c r="AA46" s="717"/>
      <c r="AB46" s="717"/>
      <c r="AC46" s="717"/>
    </row>
    <row r="47" spans="1:29">
      <c r="A47" s="550">
        <f t="shared" si="3"/>
        <v>26</v>
      </c>
      <c r="B47" s="709"/>
      <c r="C47" s="700"/>
      <c r="D47" s="601">
        <f t="shared" si="4"/>
        <v>0</v>
      </c>
      <c r="E47" s="601"/>
      <c r="F47" s="701"/>
      <c r="G47" s="601"/>
      <c r="H47" s="707"/>
      <c r="I47" s="601"/>
      <c r="J47" s="706"/>
      <c r="K47" s="562"/>
      <c r="L47" s="550">
        <f t="shared" si="5"/>
        <v>26</v>
      </c>
      <c r="M47" s="705"/>
      <c r="N47" s="711"/>
      <c r="O47" s="711"/>
      <c r="P47" s="1940">
        <f t="shared" si="2"/>
        <v>0</v>
      </c>
      <c r="Q47" s="564"/>
      <c r="R47" s="564"/>
      <c r="S47" s="564"/>
      <c r="T47" s="564"/>
      <c r="U47" s="564"/>
      <c r="V47" s="564"/>
      <c r="W47" s="564"/>
      <c r="X47" s="564"/>
      <c r="Y47" s="564"/>
      <c r="Z47" s="564"/>
      <c r="AA47" s="564"/>
      <c r="AB47" s="564"/>
      <c r="AC47" s="564"/>
    </row>
    <row r="48" spans="1:29">
      <c r="A48" s="550">
        <f t="shared" si="3"/>
        <v>27</v>
      </c>
      <c r="B48" s="709"/>
      <c r="C48" s="700"/>
      <c r="D48" s="601">
        <f t="shared" si="4"/>
        <v>0</v>
      </c>
      <c r="E48" s="601"/>
      <c r="F48" s="701"/>
      <c r="G48" s="601"/>
      <c r="H48" s="701"/>
      <c r="I48" s="601"/>
      <c r="J48" s="718"/>
      <c r="K48" s="562"/>
      <c r="L48" s="550">
        <f t="shared" si="5"/>
        <v>27</v>
      </c>
      <c r="M48" s="705"/>
      <c r="N48" s="711"/>
      <c r="O48" s="711"/>
      <c r="P48" s="1940">
        <f t="shared" si="2"/>
        <v>0</v>
      </c>
      <c r="Q48" s="564"/>
      <c r="R48" s="564"/>
      <c r="S48" s="564"/>
      <c r="T48" s="564"/>
      <c r="U48" s="564"/>
      <c r="V48" s="564"/>
      <c r="W48" s="564"/>
      <c r="X48" s="564"/>
      <c r="Y48" s="564"/>
      <c r="Z48" s="564"/>
      <c r="AA48" s="564"/>
      <c r="AB48" s="564"/>
      <c r="AC48" s="564"/>
    </row>
    <row r="49" spans="1:29">
      <c r="A49" s="550">
        <f t="shared" si="3"/>
        <v>28</v>
      </c>
      <c r="B49" s="709"/>
      <c r="C49" s="700"/>
      <c r="D49" s="601">
        <f t="shared" si="4"/>
        <v>0</v>
      </c>
      <c r="E49" s="601"/>
      <c r="F49" s="701"/>
      <c r="G49" s="601"/>
      <c r="H49" s="701"/>
      <c r="I49" s="601"/>
      <c r="J49" s="718"/>
      <c r="K49" s="562"/>
      <c r="L49" s="550">
        <f t="shared" si="5"/>
        <v>28</v>
      </c>
      <c r="M49" s="705"/>
      <c r="N49" s="711"/>
      <c r="O49" s="711"/>
      <c r="P49" s="1940">
        <f t="shared" si="2"/>
        <v>0</v>
      </c>
      <c r="Q49" s="564"/>
      <c r="R49" s="564"/>
      <c r="S49" s="564"/>
      <c r="T49" s="564"/>
      <c r="U49" s="564"/>
      <c r="V49" s="564"/>
      <c r="W49" s="564"/>
      <c r="X49" s="564"/>
      <c r="Y49" s="564"/>
      <c r="Z49" s="564"/>
      <c r="AA49" s="564"/>
      <c r="AB49" s="564"/>
      <c r="AC49" s="564"/>
    </row>
    <row r="50" spans="1:29" ht="13" thickBot="1">
      <c r="A50" s="684"/>
      <c r="B50" s="719"/>
      <c r="C50" s="719"/>
      <c r="D50" s="720"/>
      <c r="E50" s="721"/>
      <c r="F50" s="722"/>
      <c r="G50" s="721"/>
      <c r="H50" s="722"/>
      <c r="I50" s="721"/>
      <c r="J50" s="721"/>
      <c r="K50" s="723"/>
      <c r="L50" s="684"/>
      <c r="M50" s="682"/>
      <c r="N50" s="682"/>
      <c r="O50" s="682"/>
      <c r="P50" s="691"/>
      <c r="Q50" s="682"/>
    </row>
    <row r="51" spans="1:29" ht="13">
      <c r="A51" s="684">
        <f>+A49+1</f>
        <v>29</v>
      </c>
      <c r="B51" s="697"/>
      <c r="C51" s="513"/>
      <c r="D51" s="724">
        <f>SUM(D25:D50)</f>
        <v>119283.38307692308</v>
      </c>
      <c r="E51" s="725">
        <f>SUM(E25:E50)</f>
        <v>0</v>
      </c>
      <c r="F51" s="707"/>
      <c r="G51" s="725">
        <f>SUM(G25:G50)</f>
        <v>55675.18461538462</v>
      </c>
      <c r="H51" s="707"/>
      <c r="I51" s="725">
        <f>SUM(I25:I50)</f>
        <v>63608.198461538464</v>
      </c>
      <c r="J51" s="725">
        <f>SUM(J25:J50)</f>
        <v>0</v>
      </c>
      <c r="K51" s="497"/>
      <c r="L51" s="684">
        <f>+L49+1</f>
        <v>29</v>
      </c>
      <c r="M51" s="513" t="s">
        <v>846</v>
      </c>
      <c r="O51" s="682"/>
      <c r="P51" s="726">
        <f t="shared" ref="P51:AC51" si="6">SUM(P25:P50)</f>
        <v>119283.38307692308</v>
      </c>
      <c r="Q51" s="725">
        <f t="shared" si="6"/>
        <v>150399.77000000002</v>
      </c>
      <c r="R51" s="725">
        <f t="shared" si="6"/>
        <v>55686.770000000004</v>
      </c>
      <c r="S51" s="725">
        <f t="shared" si="6"/>
        <v>44543.65</v>
      </c>
      <c r="T51" s="725">
        <f t="shared" si="6"/>
        <v>146969.41</v>
      </c>
      <c r="U51" s="725">
        <f t="shared" si="6"/>
        <v>22257.46</v>
      </c>
      <c r="V51" s="725">
        <f t="shared" si="6"/>
        <v>43324.28</v>
      </c>
      <c r="W51" s="725">
        <f t="shared" si="6"/>
        <v>176793.72</v>
      </c>
      <c r="X51" s="725">
        <f t="shared" si="6"/>
        <v>110333.04</v>
      </c>
      <c r="Y51" s="725">
        <f t="shared" si="6"/>
        <v>98407.140000000014</v>
      </c>
      <c r="Z51" s="725">
        <f t="shared" si="6"/>
        <v>251204.12</v>
      </c>
      <c r="AA51" s="725">
        <f t="shared" si="6"/>
        <v>89236.36</v>
      </c>
      <c r="AB51" s="725">
        <f t="shared" si="6"/>
        <v>77850.58</v>
      </c>
      <c r="AC51" s="725">
        <f t="shared" si="6"/>
        <v>283677.68</v>
      </c>
    </row>
    <row r="52" spans="1:29" ht="13">
      <c r="A52" s="684"/>
      <c r="B52" s="697"/>
      <c r="C52" s="513"/>
      <c r="D52" s="727"/>
      <c r="E52" s="728"/>
      <c r="F52" s="707"/>
      <c r="G52" s="728"/>
      <c r="H52" s="707"/>
      <c r="I52" s="728"/>
      <c r="J52" s="728"/>
      <c r="K52" s="497"/>
      <c r="L52" s="682"/>
      <c r="M52" s="682"/>
      <c r="N52" s="682"/>
      <c r="O52" s="682"/>
      <c r="P52" s="682"/>
      <c r="Q52" s="682"/>
    </row>
    <row r="53" spans="1:29" s="730" customFormat="1" ht="49.5" customHeight="1">
      <c r="A53" s="729" t="s">
        <v>747</v>
      </c>
      <c r="B53" s="2023" t="s">
        <v>746</v>
      </c>
      <c r="C53" s="2023"/>
      <c r="D53" s="2023"/>
      <c r="E53" s="2023"/>
      <c r="F53" s="2023"/>
      <c r="G53" s="2023"/>
      <c r="H53" s="2023"/>
      <c r="I53" s="2023"/>
      <c r="J53" s="2023"/>
      <c r="K53" s="2023"/>
      <c r="L53" s="729" t="s">
        <v>747</v>
      </c>
      <c r="M53" s="2023" t="str">
        <f>+B53</f>
        <v>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v>
      </c>
      <c r="N53" s="2023"/>
      <c r="O53" s="2023"/>
      <c r="P53" s="2023"/>
      <c r="Q53" s="2023"/>
      <c r="R53" s="2023"/>
      <c r="S53" s="2023"/>
      <c r="T53" s="2023"/>
      <c r="U53" s="2023"/>
      <c r="V53" s="2023"/>
      <c r="W53" s="2023"/>
      <c r="X53" s="2023"/>
      <c r="Y53" s="2023"/>
      <c r="Z53" s="2023"/>
      <c r="AA53" s="2023"/>
      <c r="AB53" s="2023"/>
      <c r="AC53" s="2023"/>
    </row>
    <row r="54" spans="1:29">
      <c r="A54" s="497"/>
      <c r="B54" s="497"/>
      <c r="C54" s="497"/>
      <c r="D54" s="497"/>
      <c r="E54" s="497"/>
      <c r="F54" s="497"/>
      <c r="G54" s="497"/>
      <c r="H54" s="497"/>
      <c r="I54" s="497"/>
      <c r="J54" s="497"/>
      <c r="K54" s="497"/>
      <c r="L54" s="497"/>
      <c r="M54" s="497"/>
      <c r="N54" s="497"/>
      <c r="O54" s="497"/>
      <c r="P54" s="497"/>
      <c r="Q54" s="497"/>
      <c r="R54" s="497"/>
    </row>
    <row r="55" spans="1:29">
      <c r="A55" s="497"/>
      <c r="B55" s="497"/>
      <c r="C55" s="497"/>
      <c r="D55" s="497"/>
      <c r="E55" s="497"/>
      <c r="F55" s="497"/>
      <c r="G55" s="497"/>
      <c r="H55" s="497"/>
      <c r="I55" s="497"/>
      <c r="J55" s="497"/>
      <c r="K55" s="497"/>
      <c r="L55" s="497"/>
      <c r="M55" s="497"/>
      <c r="N55" s="497"/>
      <c r="O55" s="497"/>
      <c r="P55" s="497"/>
      <c r="Q55" s="497"/>
      <c r="R55" s="497"/>
    </row>
    <row r="56" spans="1:29">
      <c r="A56" s="497"/>
      <c r="B56" s="497"/>
      <c r="C56" s="497"/>
      <c r="D56" s="497"/>
      <c r="E56" s="497"/>
      <c r="F56" s="497"/>
      <c r="G56" s="497"/>
      <c r="H56" s="497"/>
      <c r="I56" s="497"/>
      <c r="J56" s="497"/>
      <c r="K56" s="497"/>
      <c r="L56" s="497"/>
      <c r="M56" s="497"/>
      <c r="N56" s="497"/>
      <c r="O56" s="497"/>
      <c r="P56" s="497"/>
      <c r="Q56" s="497"/>
      <c r="R56" s="497"/>
    </row>
    <row r="57" spans="1:29">
      <c r="A57" s="497"/>
      <c r="B57" s="497"/>
      <c r="C57" s="497"/>
      <c r="D57" s="497"/>
      <c r="E57" s="497"/>
      <c r="F57" s="497"/>
      <c r="G57" s="497"/>
      <c r="H57" s="497"/>
      <c r="I57" s="497"/>
      <c r="J57" s="497"/>
      <c r="K57" s="497"/>
      <c r="L57" s="497"/>
      <c r="M57" s="497"/>
      <c r="N57" s="497"/>
      <c r="O57" s="497"/>
      <c r="P57" s="497"/>
      <c r="Q57" s="497"/>
      <c r="R57" s="497"/>
    </row>
    <row r="58" spans="1:29">
      <c r="A58" s="497"/>
      <c r="B58" s="497"/>
      <c r="C58" s="497"/>
      <c r="D58" s="497"/>
      <c r="E58" s="497"/>
      <c r="F58" s="497"/>
      <c r="G58" s="497"/>
      <c r="H58" s="497"/>
      <c r="I58" s="497"/>
      <c r="J58" s="497"/>
      <c r="K58" s="497"/>
      <c r="L58" s="497"/>
      <c r="M58" s="497"/>
      <c r="N58" s="497"/>
      <c r="O58" s="497"/>
      <c r="P58" s="497"/>
      <c r="Q58" s="497"/>
      <c r="R58" s="497"/>
    </row>
    <row r="59" spans="1:29">
      <c r="A59" s="497"/>
      <c r="B59" s="497"/>
      <c r="C59" s="497"/>
      <c r="D59" s="497"/>
      <c r="E59" s="497"/>
      <c r="F59" s="497"/>
      <c r="G59" s="497"/>
      <c r="H59" s="497"/>
      <c r="I59" s="497"/>
      <c r="J59" s="497"/>
      <c r="K59" s="497"/>
      <c r="L59" s="497"/>
      <c r="M59" s="497"/>
      <c r="N59" s="497"/>
      <c r="O59" s="497"/>
      <c r="P59" s="497"/>
      <c r="Q59" s="497"/>
      <c r="R59" s="497"/>
    </row>
    <row r="60" spans="1:29">
      <c r="A60" s="497"/>
      <c r="B60" s="497"/>
      <c r="C60" s="497"/>
      <c r="D60" s="497"/>
      <c r="E60" s="497"/>
      <c r="F60" s="497"/>
      <c r="G60" s="497"/>
      <c r="H60" s="497"/>
      <c r="I60" s="497"/>
      <c r="J60" s="497"/>
      <c r="K60" s="497"/>
      <c r="L60" s="497"/>
      <c r="M60" s="497"/>
      <c r="N60" s="497"/>
      <c r="O60" s="497"/>
      <c r="P60" s="497"/>
      <c r="Q60" s="497"/>
      <c r="R60" s="497"/>
    </row>
    <row r="61" spans="1:29">
      <c r="A61" s="497"/>
      <c r="B61" s="497"/>
      <c r="C61" s="497"/>
      <c r="D61" s="497"/>
      <c r="E61" s="497"/>
      <c r="F61" s="497"/>
      <c r="G61" s="497"/>
      <c r="H61" s="497"/>
      <c r="I61" s="497"/>
      <c r="J61" s="497"/>
      <c r="K61" s="497"/>
      <c r="L61" s="497"/>
      <c r="M61" s="497"/>
      <c r="N61" s="497"/>
      <c r="O61" s="497"/>
      <c r="P61" s="497"/>
      <c r="Q61" s="497"/>
      <c r="R61" s="497"/>
    </row>
    <row r="62" spans="1:29">
      <c r="A62" s="497"/>
      <c r="B62" s="497"/>
      <c r="C62" s="497"/>
      <c r="D62" s="497"/>
      <c r="E62" s="497"/>
      <c r="F62" s="497"/>
      <c r="G62" s="497"/>
      <c r="H62" s="497"/>
      <c r="I62" s="497"/>
      <c r="J62" s="497"/>
      <c r="K62" s="497"/>
      <c r="L62" s="497"/>
      <c r="M62" s="497"/>
      <c r="N62" s="497"/>
      <c r="O62" s="497"/>
      <c r="P62" s="497"/>
      <c r="Q62" s="497"/>
      <c r="R62" s="497"/>
    </row>
    <row r="63" spans="1:29">
      <c r="A63" s="497"/>
      <c r="B63" s="497"/>
      <c r="C63" s="497"/>
      <c r="D63" s="497"/>
      <c r="E63" s="497"/>
      <c r="F63" s="497"/>
      <c r="G63" s="497"/>
      <c r="H63" s="497"/>
      <c r="I63" s="497"/>
      <c r="J63" s="497"/>
      <c r="K63" s="497"/>
      <c r="L63" s="497"/>
      <c r="M63" s="497"/>
      <c r="N63" s="497"/>
      <c r="O63" s="497"/>
      <c r="P63" s="497"/>
      <c r="Q63" s="497"/>
      <c r="R63" s="497"/>
    </row>
    <row r="64" spans="1:29">
      <c r="A64" s="497"/>
      <c r="B64" s="497"/>
      <c r="C64" s="497"/>
      <c r="D64" s="497"/>
      <c r="E64" s="497"/>
      <c r="F64" s="497"/>
      <c r="G64" s="497"/>
      <c r="H64" s="497"/>
      <c r="I64" s="497"/>
      <c r="J64" s="497"/>
      <c r="K64" s="497"/>
      <c r="L64" s="497"/>
      <c r="M64" s="497"/>
      <c r="N64" s="497"/>
      <c r="O64" s="497"/>
      <c r="P64" s="497"/>
      <c r="Q64" s="497"/>
      <c r="R64" s="497"/>
    </row>
    <row r="65" spans="1:18">
      <c r="A65" s="497"/>
      <c r="B65" s="497"/>
      <c r="C65" s="497"/>
      <c r="D65" s="497"/>
      <c r="E65" s="497"/>
      <c r="F65" s="497"/>
      <c r="G65" s="497"/>
      <c r="H65" s="497"/>
      <c r="I65" s="497"/>
      <c r="J65" s="497"/>
      <c r="K65" s="497"/>
      <c r="L65" s="497"/>
      <c r="M65" s="497"/>
      <c r="N65" s="497"/>
      <c r="O65" s="497"/>
      <c r="P65" s="497"/>
      <c r="Q65" s="497"/>
      <c r="R65" s="497"/>
    </row>
    <row r="66" spans="1:18">
      <c r="A66" s="497"/>
      <c r="B66" s="497"/>
      <c r="C66" s="497"/>
      <c r="D66" s="497"/>
      <c r="E66" s="497"/>
      <c r="F66" s="497"/>
      <c r="G66" s="497"/>
      <c r="H66" s="497"/>
      <c r="I66" s="497"/>
      <c r="J66" s="497"/>
      <c r="K66" s="497"/>
      <c r="L66" s="497"/>
      <c r="M66" s="497"/>
      <c r="N66" s="497"/>
      <c r="O66" s="497"/>
      <c r="P66" s="497"/>
      <c r="Q66" s="497"/>
      <c r="R66" s="497"/>
    </row>
    <row r="67" spans="1:18">
      <c r="A67" s="497"/>
      <c r="B67" s="497"/>
      <c r="C67" s="497"/>
      <c r="D67" s="497"/>
      <c r="E67" s="497"/>
      <c r="F67" s="497"/>
      <c r="G67" s="497"/>
      <c r="H67" s="497"/>
      <c r="I67" s="497"/>
      <c r="J67" s="497"/>
      <c r="K67" s="497"/>
      <c r="L67" s="497"/>
      <c r="M67" s="497"/>
      <c r="N67" s="497"/>
      <c r="O67" s="497"/>
      <c r="P67" s="497"/>
      <c r="Q67" s="497"/>
      <c r="R67" s="497"/>
    </row>
    <row r="68" spans="1:18">
      <c r="A68" s="497"/>
      <c r="B68" s="497"/>
      <c r="C68" s="497"/>
      <c r="D68" s="497"/>
      <c r="E68" s="497"/>
      <c r="F68" s="497"/>
      <c r="G68" s="497"/>
      <c r="H68" s="497"/>
      <c r="I68" s="497"/>
      <c r="J68" s="497"/>
      <c r="K68" s="497"/>
      <c r="L68" s="497"/>
      <c r="M68" s="497"/>
      <c r="N68" s="497"/>
      <c r="O68" s="497"/>
      <c r="P68" s="497"/>
      <c r="Q68" s="497"/>
      <c r="R68" s="497"/>
    </row>
    <row r="69" spans="1:18">
      <c r="A69" s="497"/>
      <c r="B69" s="497"/>
      <c r="C69" s="497"/>
      <c r="D69" s="497"/>
      <c r="E69" s="497"/>
      <c r="F69" s="497"/>
      <c r="G69" s="497"/>
      <c r="H69" s="497"/>
      <c r="I69" s="497"/>
      <c r="J69" s="497"/>
      <c r="K69" s="497"/>
      <c r="L69" s="497"/>
      <c r="M69" s="497"/>
      <c r="N69" s="497"/>
      <c r="O69" s="497"/>
      <c r="P69" s="497"/>
      <c r="Q69" s="497"/>
      <c r="R69" s="497"/>
    </row>
    <row r="70" spans="1:18">
      <c r="A70" s="497"/>
      <c r="B70" s="497"/>
      <c r="C70" s="497"/>
      <c r="D70" s="497"/>
      <c r="E70" s="497"/>
      <c r="F70" s="497"/>
      <c r="G70" s="497"/>
      <c r="H70" s="497"/>
      <c r="I70" s="497"/>
      <c r="J70" s="497"/>
      <c r="K70" s="497"/>
      <c r="L70" s="497"/>
      <c r="M70" s="497"/>
      <c r="N70" s="497"/>
      <c r="O70" s="497"/>
      <c r="P70" s="497"/>
      <c r="Q70" s="497"/>
      <c r="R70" s="497"/>
    </row>
    <row r="71" spans="1:18">
      <c r="A71" s="497"/>
      <c r="B71" s="497"/>
      <c r="C71" s="497"/>
      <c r="D71" s="497"/>
      <c r="E71" s="497"/>
      <c r="F71" s="497"/>
      <c r="G71" s="497"/>
      <c r="H71" s="497"/>
      <c r="I71" s="497"/>
      <c r="J71" s="497"/>
      <c r="K71" s="497"/>
      <c r="L71" s="497"/>
      <c r="M71" s="497"/>
      <c r="N71" s="497"/>
      <c r="O71" s="497"/>
      <c r="P71" s="497"/>
      <c r="Q71" s="497"/>
      <c r="R71" s="497"/>
    </row>
    <row r="72" spans="1:18">
      <c r="A72" s="497"/>
      <c r="B72" s="497"/>
      <c r="C72" s="497"/>
      <c r="D72" s="497"/>
      <c r="E72" s="497"/>
      <c r="F72" s="497"/>
      <c r="G72" s="497"/>
      <c r="H72" s="497"/>
      <c r="I72" s="497"/>
      <c r="J72" s="497"/>
      <c r="K72" s="497"/>
      <c r="L72" s="497"/>
      <c r="M72" s="497"/>
      <c r="N72" s="497"/>
      <c r="O72" s="497"/>
      <c r="P72" s="497"/>
      <c r="Q72" s="497"/>
      <c r="R72" s="497"/>
    </row>
    <row r="73" spans="1:18">
      <c r="A73" s="497"/>
      <c r="B73" s="497"/>
      <c r="C73" s="497"/>
      <c r="D73" s="497"/>
      <c r="E73" s="497"/>
      <c r="F73" s="497"/>
      <c r="G73" s="497"/>
      <c r="H73" s="497"/>
      <c r="I73" s="497"/>
      <c r="J73" s="497"/>
      <c r="K73" s="497"/>
      <c r="L73" s="497"/>
      <c r="M73" s="497"/>
      <c r="N73" s="497"/>
      <c r="O73" s="497"/>
      <c r="P73" s="497"/>
      <c r="Q73" s="497"/>
      <c r="R73" s="497"/>
    </row>
    <row r="74" spans="1:18">
      <c r="A74" s="497"/>
      <c r="B74" s="497"/>
      <c r="C74" s="497"/>
      <c r="D74" s="497"/>
      <c r="E74" s="497"/>
      <c r="F74" s="497"/>
      <c r="G74" s="497"/>
      <c r="H74" s="497"/>
      <c r="I74" s="497"/>
      <c r="J74" s="497"/>
      <c r="K74" s="497"/>
      <c r="L74" s="497"/>
      <c r="M74" s="497"/>
      <c r="N74" s="497"/>
      <c r="O74" s="497"/>
      <c r="P74" s="497"/>
      <c r="Q74" s="497"/>
      <c r="R74" s="497"/>
    </row>
    <row r="75" spans="1:18">
      <c r="A75" s="497"/>
      <c r="B75" s="497"/>
      <c r="C75" s="497"/>
      <c r="D75" s="497"/>
      <c r="E75" s="497"/>
      <c r="F75" s="497"/>
      <c r="G75" s="497"/>
      <c r="H75" s="497"/>
      <c r="I75" s="497"/>
      <c r="J75" s="497"/>
      <c r="K75" s="497"/>
      <c r="L75" s="497"/>
      <c r="M75" s="497"/>
      <c r="N75" s="497"/>
      <c r="O75" s="497"/>
      <c r="P75" s="497"/>
      <c r="Q75" s="497"/>
      <c r="R75" s="497"/>
    </row>
    <row r="76" spans="1:18">
      <c r="A76" s="497"/>
      <c r="B76" s="497"/>
      <c r="C76" s="497"/>
      <c r="D76" s="497"/>
      <c r="E76" s="497"/>
      <c r="F76" s="497"/>
      <c r="G76" s="497"/>
      <c r="H76" s="497"/>
      <c r="I76" s="497"/>
      <c r="J76" s="497"/>
      <c r="K76" s="497"/>
      <c r="L76" s="497"/>
      <c r="M76" s="497"/>
      <c r="N76" s="497"/>
      <c r="O76" s="497"/>
      <c r="P76" s="497"/>
      <c r="Q76" s="497"/>
      <c r="R76" s="497"/>
    </row>
    <row r="77" spans="1:18">
      <c r="A77" s="497"/>
      <c r="B77" s="497"/>
      <c r="C77" s="497"/>
      <c r="D77" s="497"/>
      <c r="E77" s="497"/>
      <c r="F77" s="497"/>
      <c r="G77" s="497"/>
      <c r="H77" s="497"/>
      <c r="I77" s="497"/>
      <c r="J77" s="497"/>
      <c r="K77" s="497"/>
      <c r="L77" s="497"/>
      <c r="M77" s="497"/>
      <c r="N77" s="497"/>
      <c r="O77" s="497"/>
      <c r="P77" s="497"/>
      <c r="Q77" s="497"/>
      <c r="R77" s="497"/>
    </row>
    <row r="78" spans="1:18">
      <c r="A78" s="497"/>
      <c r="B78" s="497"/>
      <c r="C78" s="497"/>
      <c r="D78" s="497"/>
      <c r="E78" s="497"/>
      <c r="F78" s="497"/>
      <c r="G78" s="497"/>
      <c r="H78" s="497"/>
      <c r="I78" s="497"/>
      <c r="J78" s="497"/>
      <c r="K78" s="497"/>
      <c r="L78" s="497"/>
      <c r="M78" s="497"/>
      <c r="N78" s="497"/>
      <c r="O78" s="497"/>
      <c r="P78" s="497"/>
      <c r="Q78" s="497"/>
      <c r="R78" s="497"/>
    </row>
    <row r="79" spans="1:18">
      <c r="A79" s="497"/>
      <c r="B79" s="497"/>
      <c r="C79" s="497"/>
      <c r="D79" s="497"/>
      <c r="E79" s="497"/>
      <c r="F79" s="497"/>
      <c r="G79" s="497"/>
      <c r="H79" s="497"/>
      <c r="I79" s="497"/>
      <c r="J79" s="497"/>
      <c r="K79" s="497"/>
      <c r="L79" s="497"/>
      <c r="M79" s="497"/>
      <c r="N79" s="497"/>
      <c r="O79" s="497"/>
      <c r="P79" s="497"/>
      <c r="Q79" s="497"/>
      <c r="R79" s="497"/>
    </row>
    <row r="80" spans="1:18">
      <c r="A80" s="497"/>
      <c r="B80" s="497"/>
      <c r="C80" s="497"/>
      <c r="D80" s="497"/>
      <c r="E80" s="497"/>
      <c r="F80" s="497"/>
      <c r="G80" s="497"/>
      <c r="H80" s="497"/>
      <c r="I80" s="497"/>
      <c r="J80" s="497"/>
      <c r="K80" s="497"/>
      <c r="L80" s="497"/>
      <c r="M80" s="497"/>
      <c r="N80" s="497"/>
      <c r="O80" s="497"/>
      <c r="P80" s="497"/>
      <c r="Q80" s="497"/>
      <c r="R80" s="497"/>
    </row>
    <row r="81" spans="1:18">
      <c r="A81" s="497"/>
      <c r="B81" s="497"/>
      <c r="C81" s="497"/>
      <c r="D81" s="497"/>
      <c r="E81" s="497"/>
      <c r="F81" s="497"/>
      <c r="G81" s="497"/>
      <c r="H81" s="497"/>
      <c r="I81" s="497"/>
      <c r="J81" s="497"/>
      <c r="K81" s="497"/>
      <c r="L81" s="497"/>
      <c r="M81" s="497"/>
      <c r="N81" s="497"/>
      <c r="O81" s="497"/>
      <c r="P81" s="497"/>
      <c r="Q81" s="497"/>
      <c r="R81" s="497"/>
    </row>
    <row r="82" spans="1:18">
      <c r="A82" s="497"/>
      <c r="B82" s="497"/>
      <c r="C82" s="497"/>
      <c r="D82" s="497"/>
      <c r="E82" s="497"/>
      <c r="F82" s="497"/>
      <c r="G82" s="497"/>
      <c r="H82" s="497"/>
      <c r="I82" s="497"/>
      <c r="J82" s="497"/>
      <c r="K82" s="497"/>
      <c r="L82" s="497"/>
      <c r="M82" s="497"/>
      <c r="N82" s="497"/>
      <c r="O82" s="497"/>
      <c r="P82" s="497"/>
      <c r="Q82" s="497"/>
      <c r="R82" s="497"/>
    </row>
    <row r="83" spans="1:18">
      <c r="A83" s="497"/>
      <c r="B83" s="497"/>
      <c r="C83" s="497"/>
      <c r="D83" s="497"/>
      <c r="E83" s="497"/>
      <c r="F83" s="497"/>
      <c r="G83" s="497"/>
      <c r="H83" s="497"/>
      <c r="I83" s="497"/>
      <c r="J83" s="497"/>
      <c r="K83" s="497"/>
      <c r="L83" s="497"/>
      <c r="M83" s="497"/>
      <c r="N83" s="497"/>
      <c r="O83" s="497"/>
      <c r="P83" s="497"/>
      <c r="Q83" s="497"/>
      <c r="R83" s="497"/>
    </row>
    <row r="84" spans="1:18">
      <c r="A84" s="497"/>
      <c r="B84" s="497"/>
      <c r="C84" s="497"/>
      <c r="D84" s="497"/>
      <c r="E84" s="497"/>
      <c r="F84" s="497"/>
      <c r="G84" s="497"/>
      <c r="H84" s="497"/>
      <c r="I84" s="497"/>
      <c r="J84" s="497"/>
      <c r="K84" s="497"/>
      <c r="L84" s="497"/>
      <c r="M84" s="497"/>
      <c r="N84" s="497"/>
      <c r="O84" s="497"/>
      <c r="P84" s="497"/>
      <c r="Q84" s="497"/>
      <c r="R84" s="497"/>
    </row>
    <row r="85" spans="1:18">
      <c r="A85" s="497"/>
      <c r="B85" s="497"/>
      <c r="C85" s="497"/>
      <c r="D85" s="497"/>
      <c r="E85" s="497"/>
      <c r="F85" s="497"/>
      <c r="G85" s="497"/>
      <c r="H85" s="497"/>
      <c r="I85" s="497"/>
      <c r="J85" s="497"/>
      <c r="K85" s="497"/>
      <c r="L85" s="497"/>
      <c r="M85" s="497"/>
      <c r="N85" s="497"/>
      <c r="O85" s="497"/>
      <c r="P85" s="497"/>
      <c r="Q85" s="497"/>
      <c r="R85" s="497"/>
    </row>
    <row r="86" spans="1:18">
      <c r="A86" s="497"/>
      <c r="B86" s="497"/>
      <c r="C86" s="497"/>
      <c r="D86" s="497"/>
      <c r="E86" s="497"/>
      <c r="F86" s="497"/>
      <c r="G86" s="497"/>
      <c r="H86" s="497"/>
      <c r="I86" s="497"/>
      <c r="J86" s="497"/>
      <c r="K86" s="497"/>
      <c r="L86" s="497"/>
      <c r="M86" s="497"/>
      <c r="N86" s="497"/>
      <c r="O86" s="497"/>
      <c r="P86" s="497"/>
      <c r="Q86" s="497"/>
      <c r="R86" s="497"/>
    </row>
    <row r="87" spans="1:18">
      <c r="A87" s="497"/>
      <c r="B87" s="497"/>
      <c r="C87" s="497"/>
      <c r="D87" s="497"/>
      <c r="E87" s="497"/>
      <c r="F87" s="497"/>
      <c r="G87" s="497"/>
      <c r="H87" s="497"/>
      <c r="I87" s="497"/>
      <c r="J87" s="497"/>
      <c r="K87" s="497"/>
      <c r="L87" s="497"/>
      <c r="M87" s="497"/>
      <c r="N87" s="497"/>
      <c r="O87" s="497"/>
      <c r="P87" s="497"/>
      <c r="Q87" s="497"/>
      <c r="R87" s="497"/>
    </row>
    <row r="88" spans="1:18">
      <c r="A88" s="497"/>
      <c r="B88" s="497"/>
      <c r="C88" s="497"/>
      <c r="D88" s="497"/>
      <c r="E88" s="497"/>
      <c r="F88" s="497"/>
      <c r="G88" s="497"/>
      <c r="H88" s="497"/>
      <c r="I88" s="497"/>
      <c r="J88" s="497"/>
      <c r="K88" s="497"/>
      <c r="L88" s="497"/>
      <c r="M88" s="497"/>
      <c r="N88" s="497"/>
      <c r="O88" s="497"/>
      <c r="P88" s="497"/>
      <c r="Q88" s="497"/>
      <c r="R88" s="497"/>
    </row>
    <row r="89" spans="1:18">
      <c r="A89" s="497"/>
      <c r="B89" s="497"/>
      <c r="C89" s="497"/>
      <c r="D89" s="497"/>
      <c r="E89" s="497"/>
      <c r="F89" s="497"/>
      <c r="G89" s="497"/>
      <c r="H89" s="497"/>
      <c r="I89" s="497"/>
      <c r="J89" s="497"/>
      <c r="K89" s="497"/>
      <c r="L89" s="497"/>
      <c r="M89" s="497"/>
      <c r="N89" s="497"/>
      <c r="O89" s="497"/>
      <c r="P89" s="497"/>
      <c r="Q89" s="497"/>
      <c r="R89" s="497"/>
    </row>
    <row r="90" spans="1:18">
      <c r="A90" s="497"/>
      <c r="B90" s="497"/>
      <c r="C90" s="497"/>
      <c r="D90" s="497"/>
      <c r="E90" s="497"/>
      <c r="F90" s="497"/>
      <c r="G90" s="497"/>
      <c r="H90" s="497"/>
      <c r="I90" s="497"/>
      <c r="J90" s="497"/>
      <c r="K90" s="497"/>
      <c r="L90" s="497"/>
      <c r="M90" s="497"/>
      <c r="N90" s="497"/>
      <c r="O90" s="497"/>
      <c r="P90" s="497"/>
      <c r="Q90" s="497"/>
      <c r="R90" s="497"/>
    </row>
    <row r="91" spans="1:18">
      <c r="A91" s="497"/>
      <c r="B91" s="497"/>
      <c r="C91" s="497"/>
      <c r="D91" s="497"/>
      <c r="E91" s="497"/>
      <c r="F91" s="497"/>
      <c r="G91" s="497"/>
      <c r="H91" s="497"/>
      <c r="I91" s="497"/>
      <c r="J91" s="497"/>
      <c r="K91" s="497"/>
      <c r="L91" s="497"/>
      <c r="M91" s="497"/>
      <c r="N91" s="497"/>
      <c r="O91" s="497"/>
      <c r="P91" s="497"/>
      <c r="Q91" s="497"/>
      <c r="R91" s="497"/>
    </row>
    <row r="92" spans="1:18">
      <c r="A92" s="497"/>
      <c r="B92" s="497"/>
      <c r="C92" s="497"/>
      <c r="D92" s="497"/>
      <c r="E92" s="497"/>
      <c r="F92" s="497"/>
      <c r="G92" s="497"/>
      <c r="H92" s="497"/>
      <c r="I92" s="497"/>
      <c r="J92" s="497"/>
      <c r="K92" s="497"/>
      <c r="L92" s="497"/>
      <c r="M92" s="497"/>
      <c r="N92" s="497"/>
      <c r="O92" s="497"/>
      <c r="P92" s="497"/>
      <c r="Q92" s="497"/>
      <c r="R92" s="497"/>
    </row>
    <row r="93" spans="1:18">
      <c r="A93" s="497"/>
      <c r="B93" s="497"/>
      <c r="C93" s="497"/>
      <c r="D93" s="497"/>
      <c r="E93" s="497"/>
      <c r="F93" s="497"/>
      <c r="G93" s="497"/>
      <c r="H93" s="497"/>
      <c r="I93" s="497"/>
      <c r="J93" s="497"/>
      <c r="K93" s="497"/>
      <c r="L93" s="497"/>
      <c r="M93" s="497"/>
      <c r="N93" s="497"/>
      <c r="O93" s="497"/>
      <c r="P93" s="497"/>
      <c r="Q93" s="497"/>
      <c r="R93" s="497"/>
    </row>
    <row r="94" spans="1:18">
      <c r="A94" s="497"/>
      <c r="B94" s="497"/>
      <c r="C94" s="497"/>
      <c r="D94" s="497"/>
      <c r="E94" s="497"/>
      <c r="F94" s="497"/>
      <c r="G94" s="497"/>
      <c r="H94" s="497"/>
      <c r="I94" s="497"/>
      <c r="J94" s="497"/>
      <c r="K94" s="497"/>
      <c r="L94" s="497"/>
      <c r="M94" s="497"/>
      <c r="N94" s="497"/>
      <c r="O94" s="497"/>
      <c r="P94" s="497"/>
      <c r="Q94" s="497"/>
      <c r="R94" s="497"/>
    </row>
  </sheetData>
  <mergeCells count="17">
    <mergeCell ref="M53:AC53"/>
    <mergeCell ref="Q22:AC22"/>
    <mergeCell ref="Q11:AC11"/>
    <mergeCell ref="M2:Y2"/>
    <mergeCell ref="M3:Y3"/>
    <mergeCell ref="M4:Y4"/>
    <mergeCell ref="M5:Y5"/>
    <mergeCell ref="M21:AC21"/>
    <mergeCell ref="M9:AC9"/>
    <mergeCell ref="G11:G12"/>
    <mergeCell ref="B53:K53"/>
    <mergeCell ref="B20:K20"/>
    <mergeCell ref="A2:K2"/>
    <mergeCell ref="A3:K3"/>
    <mergeCell ref="A4:K4"/>
    <mergeCell ref="A5:K5"/>
    <mergeCell ref="B9:K9"/>
  </mergeCells>
  <phoneticPr fontId="6" type="noConversion"/>
  <printOptions horizontalCentered="1"/>
  <pageMargins left="0.25" right="0.25" top="1" bottom="0.25" header="0.25" footer="0"/>
  <pageSetup scale="45" fitToWidth="2" orientation="landscape" horizontalDpi="1200" verticalDpi="1200" r:id="rId1"/>
  <headerFooter alignWithMargins="0">
    <oddHeader xml:space="preserve">&amp;R&amp;14AEP - SPP Transco Formula Rate
TCOS - WS D
Page: &amp;P of &amp;N&amp;18
</oddHeader>
    <oddFooter xml:space="preserve">&amp;R &amp;C </oddFooter>
  </headerFooter>
  <colBreaks count="1" manualBreakCount="1">
    <brk id="11" max="5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102"/>
  <sheetViews>
    <sheetView zoomScale="81" zoomScaleNormal="81" zoomScaleSheetLayoutView="100" workbookViewId="0">
      <selection activeCell="C18" sqref="C18"/>
    </sheetView>
  </sheetViews>
  <sheetFormatPr defaultColWidth="8.81640625" defaultRowHeight="12.5"/>
  <cols>
    <col min="1" max="1" width="9.1796875" style="550" customWidth="1"/>
    <col min="2" max="2" width="65.1796875" style="497" bestFit="1" customWidth="1"/>
    <col min="3" max="3" width="16.453125" style="497" bestFit="1" customWidth="1"/>
    <col min="4" max="4" width="1.54296875" style="497" customWidth="1"/>
    <col min="5" max="5" width="15" style="497" bestFit="1" customWidth="1"/>
    <col min="6" max="7" width="8.81640625" style="497"/>
    <col min="8" max="8" width="10.81640625" style="497" bestFit="1" customWidth="1"/>
    <col min="9" max="16384" width="8.81640625" style="497"/>
  </cols>
  <sheetData>
    <row r="1" spans="1:15" ht="15.5">
      <c r="A1" s="551"/>
    </row>
    <row r="2" spans="1:15" ht="15.5">
      <c r="A2" s="1996" t="str">
        <f>+'OKT TCOS'!F4</f>
        <v xml:space="preserve">AEP West SPP Member Transmission Companies </v>
      </c>
      <c r="B2" s="1996"/>
      <c r="C2" s="1996"/>
      <c r="D2" s="1996"/>
      <c r="E2" s="1996"/>
      <c r="F2" s="670"/>
      <c r="G2" s="670"/>
      <c r="H2" s="670"/>
      <c r="I2" s="670"/>
      <c r="J2" s="670"/>
      <c r="K2" s="670"/>
      <c r="L2" s="670"/>
      <c r="M2" s="670"/>
      <c r="N2" s="670"/>
      <c r="O2" s="670"/>
    </row>
    <row r="3" spans="1:15" ht="15.5">
      <c r="A3" s="1990" t="str">
        <f>+'OKT WS A-1 - Plant'!A3</f>
        <v xml:space="preserve">Actual / Projected 2019 Rate Year Cost of Service Formula Rate </v>
      </c>
      <c r="B3" s="1990"/>
      <c r="C3" s="1990"/>
      <c r="D3" s="1990"/>
      <c r="E3" s="1990"/>
      <c r="F3" s="672"/>
      <c r="G3" s="672"/>
      <c r="H3" s="672"/>
      <c r="I3" s="672"/>
      <c r="J3" s="672"/>
      <c r="K3" s="672"/>
      <c r="L3" s="672"/>
      <c r="M3" s="671"/>
      <c r="N3" s="671"/>
      <c r="O3" s="671"/>
    </row>
    <row r="4" spans="1:15" ht="15.5">
      <c r="A4" s="1991" t="s">
        <v>112</v>
      </c>
      <c r="B4" s="1990"/>
      <c r="C4" s="1990"/>
      <c r="D4" s="1990"/>
      <c r="E4" s="1990"/>
      <c r="F4" s="672"/>
      <c r="G4" s="672"/>
      <c r="H4" s="672"/>
      <c r="I4" s="672"/>
      <c r="J4" s="672"/>
      <c r="K4" s="672"/>
      <c r="L4" s="672"/>
      <c r="M4" s="672"/>
      <c r="N4" s="672"/>
      <c r="O4" s="672"/>
    </row>
    <row r="5" spans="1:15" ht="15.5">
      <c r="A5" s="2025" t="str">
        <f>+'OKT TCOS'!F8</f>
        <v>AEP OKLAHOMA TRANSMISSION COMPANY, INC.</v>
      </c>
      <c r="B5" s="2025"/>
      <c r="C5" s="2025"/>
      <c r="D5" s="2025"/>
      <c r="E5" s="2025"/>
      <c r="F5" s="111"/>
      <c r="G5" s="111"/>
      <c r="H5" s="111"/>
      <c r="I5" s="111"/>
      <c r="J5" s="111"/>
      <c r="K5" s="111"/>
      <c r="L5" s="111"/>
      <c r="M5" s="111"/>
      <c r="N5" s="111"/>
      <c r="O5" s="111"/>
    </row>
    <row r="7" spans="1:15" ht="13">
      <c r="A7" s="732" t="s">
        <v>307</v>
      </c>
      <c r="B7" s="557" t="s">
        <v>300</v>
      </c>
      <c r="C7" s="557" t="s">
        <v>301</v>
      </c>
    </row>
    <row r="8" spans="1:15" ht="13">
      <c r="A8" s="732" t="s">
        <v>245</v>
      </c>
      <c r="B8" s="732" t="s">
        <v>305</v>
      </c>
      <c r="C8" s="732">
        <f>+'OKT TCOS'!N2</f>
        <v>2019</v>
      </c>
    </row>
    <row r="9" spans="1:15" ht="13">
      <c r="B9" s="733"/>
      <c r="C9" s="557"/>
    </row>
    <row r="10" spans="1:15" ht="13">
      <c r="A10" s="550">
        <v>1</v>
      </c>
      <c r="B10" s="577" t="str">
        <f>"Net Funds from IPP Customers @ 12/31/"&amp;C8-1&amp;" ("&amp;C8&amp;" FORM 1, P269, (B))"</f>
        <v>Net Funds from IPP Customers @ 12/31/2018 (2019 FORM 1, P269, (B))</v>
      </c>
      <c r="C10" s="575">
        <v>0</v>
      </c>
      <c r="D10" s="594"/>
      <c r="E10" s="578"/>
    </row>
    <row r="11" spans="1:15">
      <c r="A11" s="550" t="s">
        <v>119</v>
      </c>
      <c r="B11" s="577"/>
      <c r="C11" s="594"/>
      <c r="D11" s="594"/>
    </row>
    <row r="12" spans="1:15">
      <c r="A12" s="550">
        <v>2</v>
      </c>
      <c r="B12" s="734" t="s">
        <v>590</v>
      </c>
      <c r="C12" s="575"/>
      <c r="D12" s="594"/>
    </row>
    <row r="13" spans="1:15">
      <c r="B13" s="577"/>
      <c r="C13" s="594"/>
      <c r="D13" s="594"/>
    </row>
    <row r="14" spans="1:15">
      <c r="A14" s="550">
        <f>+A12+1</f>
        <v>3</v>
      </c>
      <c r="B14" s="734" t="s">
        <v>591</v>
      </c>
      <c r="C14" s="575"/>
      <c r="D14" s="594"/>
    </row>
    <row r="15" spans="1:15">
      <c r="B15" s="577"/>
      <c r="C15" s="594"/>
      <c r="D15" s="594"/>
    </row>
    <row r="16" spans="1:15">
      <c r="A16" s="550">
        <f>+A14+1</f>
        <v>4</v>
      </c>
      <c r="B16" s="735" t="s">
        <v>592</v>
      </c>
      <c r="C16" s="594"/>
      <c r="D16" s="594"/>
    </row>
    <row r="17" spans="1:8">
      <c r="A17" s="550">
        <f>+A16+1</f>
        <v>5</v>
      </c>
      <c r="B17" s="577" t="s">
        <v>357</v>
      </c>
      <c r="C17" s="575">
        <v>0</v>
      </c>
      <c r="D17" s="594"/>
      <c r="H17" s="594"/>
    </row>
    <row r="18" spans="1:8">
      <c r="A18" s="550">
        <f>+A17+1</f>
        <v>6</v>
      </c>
      <c r="B18" s="577" t="s">
        <v>253</v>
      </c>
      <c r="C18" s="573"/>
      <c r="D18" s="594"/>
    </row>
    <row r="19" spans="1:8">
      <c r="B19" s="577"/>
      <c r="C19" s="736"/>
      <c r="D19" s="594"/>
    </row>
    <row r="20" spans="1:8" ht="13">
      <c r="A20" s="550">
        <f>+A18+1</f>
        <v>7</v>
      </c>
      <c r="B20" s="577" t="str">
        <f>" Net Funds from IPP Customers 12/31/"&amp;C8&amp;" ("&amp;C8&amp;" FORM 1, P269, (F))"</f>
        <v xml:space="preserve"> Net Funds from IPP Customers 12/31/2019 (2019 FORM 1, P269, (F))</v>
      </c>
      <c r="C20" s="594">
        <f>+C10+C12+C14+C17+C18</f>
        <v>0</v>
      </c>
      <c r="D20" s="553"/>
      <c r="E20" s="578"/>
    </row>
    <row r="21" spans="1:8">
      <c r="B21" s="577"/>
      <c r="C21" s="594"/>
      <c r="D21" s="594"/>
    </row>
    <row r="22" spans="1:8">
      <c r="A22" s="550">
        <f>+A20+1</f>
        <v>8</v>
      </c>
      <c r="B22" s="577" t="str">
        <f>"Average Balance for "&amp;C8&amp;" ((ln "&amp;A10&amp;" + ln "&amp;A20&amp;")/2)"</f>
        <v>Average Balance for 2019 ((ln 1 + ln 7)/2)</v>
      </c>
      <c r="C22" s="737">
        <f>AVERAGE(C20,C10)</f>
        <v>0</v>
      </c>
      <c r="D22" s="594"/>
    </row>
    <row r="23" spans="1:8">
      <c r="C23" s="594"/>
      <c r="D23" s="594"/>
    </row>
    <row r="24" spans="1:8">
      <c r="C24" s="594"/>
      <c r="D24" s="594"/>
    </row>
    <row r="31" spans="1:8">
      <c r="D31" s="738"/>
    </row>
    <row r="37" spans="3:3">
      <c r="C37" s="739"/>
    </row>
    <row r="54" spans="1:1">
      <c r="A54" s="497"/>
    </row>
    <row r="55" spans="1:1">
      <c r="A55" s="497"/>
    </row>
    <row r="56" spans="1:1">
      <c r="A56" s="497"/>
    </row>
    <row r="57" spans="1:1">
      <c r="A57" s="497"/>
    </row>
    <row r="58" spans="1:1">
      <c r="A58" s="497"/>
    </row>
    <row r="59" spans="1:1">
      <c r="A59" s="497"/>
    </row>
    <row r="60" spans="1:1">
      <c r="A60" s="497"/>
    </row>
    <row r="61" spans="1:1">
      <c r="A61" s="497"/>
    </row>
    <row r="62" spans="1:1">
      <c r="A62" s="497"/>
    </row>
    <row r="63" spans="1:1">
      <c r="A63" s="497"/>
    </row>
    <row r="64" spans="1:1">
      <c r="A64" s="497"/>
    </row>
    <row r="65" spans="1:1">
      <c r="A65" s="497"/>
    </row>
    <row r="66" spans="1:1">
      <c r="A66" s="497"/>
    </row>
    <row r="67" spans="1:1">
      <c r="A67" s="497"/>
    </row>
    <row r="68" spans="1:1">
      <c r="A68" s="497"/>
    </row>
    <row r="69" spans="1:1">
      <c r="A69" s="497"/>
    </row>
    <row r="70" spans="1:1">
      <c r="A70" s="497"/>
    </row>
    <row r="71" spans="1:1">
      <c r="A71" s="497"/>
    </row>
    <row r="72" spans="1:1">
      <c r="A72" s="497"/>
    </row>
    <row r="73" spans="1:1">
      <c r="A73" s="497"/>
    </row>
    <row r="74" spans="1:1">
      <c r="A74" s="497"/>
    </row>
    <row r="75" spans="1:1">
      <c r="A75" s="497"/>
    </row>
    <row r="76" spans="1:1">
      <c r="A76" s="497"/>
    </row>
    <row r="77" spans="1:1">
      <c r="A77" s="497"/>
    </row>
    <row r="78" spans="1:1">
      <c r="A78" s="497"/>
    </row>
    <row r="79" spans="1:1">
      <c r="A79" s="497"/>
    </row>
    <row r="80" spans="1:1">
      <c r="A80" s="497"/>
    </row>
    <row r="81" spans="1:1">
      <c r="A81" s="497"/>
    </row>
    <row r="82" spans="1:1">
      <c r="A82" s="497"/>
    </row>
    <row r="83" spans="1:1">
      <c r="A83" s="497"/>
    </row>
    <row r="84" spans="1:1">
      <c r="A84" s="497"/>
    </row>
    <row r="85" spans="1:1">
      <c r="A85" s="497"/>
    </row>
    <row r="86" spans="1:1">
      <c r="A86" s="497"/>
    </row>
    <row r="87" spans="1:1">
      <c r="A87" s="497"/>
    </row>
    <row r="88" spans="1:1">
      <c r="A88" s="497"/>
    </row>
    <row r="89" spans="1:1">
      <c r="A89" s="497"/>
    </row>
    <row r="90" spans="1:1">
      <c r="A90" s="497"/>
    </row>
    <row r="91" spans="1:1">
      <c r="A91" s="497"/>
    </row>
    <row r="92" spans="1:1">
      <c r="A92" s="497"/>
    </row>
    <row r="93" spans="1:1">
      <c r="A93" s="497"/>
    </row>
    <row r="94" spans="1:1">
      <c r="A94" s="497"/>
    </row>
    <row r="95" spans="1:1">
      <c r="A95" s="497"/>
    </row>
    <row r="96" spans="1:1">
      <c r="A96" s="497"/>
    </row>
    <row r="97" spans="1:1">
      <c r="A97" s="497"/>
    </row>
    <row r="98" spans="1:1">
      <c r="A98" s="497"/>
    </row>
    <row r="99" spans="1:1">
      <c r="A99" s="497"/>
    </row>
    <row r="100" spans="1:1">
      <c r="A100" s="497"/>
    </row>
    <row r="101" spans="1:1">
      <c r="A101" s="497"/>
    </row>
    <row r="102" spans="1:1">
      <c r="A102" s="497"/>
    </row>
  </sheetData>
  <mergeCells count="4">
    <mergeCell ref="A2:E2"/>
    <mergeCell ref="A3:E3"/>
    <mergeCell ref="A4:E4"/>
    <mergeCell ref="A5:E5"/>
  </mergeCells>
  <phoneticPr fontId="0" type="noConversion"/>
  <printOptions horizontalCentered="1"/>
  <pageMargins left="0.75" right="0.75" top="1" bottom="0.25" header="0.25" footer="0.5"/>
  <pageSetup scale="85" orientation="portrait" horizontalDpi="1200" verticalDpi="1200" r:id="rId1"/>
  <headerFooter alignWithMargins="0">
    <oddHeader xml:space="preserve">&amp;R&amp;11AEP - SPP Transco Formula Rate
TCOS - WS E
Page: &amp;P of &amp;N&amp;14
</oddHeader>
    <oddFooter xml:space="preserve">&amp;R &amp;C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S171"/>
  <sheetViews>
    <sheetView topLeftCell="D1" zoomScale="81" zoomScaleNormal="81" zoomScaleSheetLayoutView="90" zoomScalePageLayoutView="80" workbookViewId="0">
      <selection activeCell="P25" sqref="P25"/>
    </sheetView>
  </sheetViews>
  <sheetFormatPr defaultColWidth="8.81640625" defaultRowHeight="12.5"/>
  <cols>
    <col min="1" max="1" width="9.26953125" style="497" customWidth="1"/>
    <col min="2" max="2" width="6.7265625" style="497" customWidth="1"/>
    <col min="3" max="3" width="24.54296875" style="497" customWidth="1"/>
    <col min="4" max="4" width="17.7265625" style="550" customWidth="1"/>
    <col min="5" max="5" width="21.7265625" style="497" customWidth="1"/>
    <col min="6" max="8" width="17.7265625" style="497" customWidth="1"/>
    <col min="9" max="9" width="19.54296875" style="553" customWidth="1"/>
    <col min="10" max="12" width="17.7265625" style="497" customWidth="1"/>
    <col min="13" max="13" width="20" style="497" customWidth="1"/>
    <col min="14" max="14" width="19.54296875" style="497" customWidth="1"/>
    <col min="15" max="15" width="19" style="599" customWidth="1"/>
    <col min="16" max="16" width="16.453125" style="599" customWidth="1"/>
    <col min="17" max="17" width="57.81640625" style="497" bestFit="1" customWidth="1"/>
    <col min="18" max="16384" width="8.81640625" style="497"/>
  </cols>
  <sheetData>
    <row r="1" spans="1:19" ht="15.5">
      <c r="A1" s="551"/>
    </row>
    <row r="2" spans="1:19" ht="17.5">
      <c r="A2" s="2002" t="str">
        <f>'OKT TCOS'!F4</f>
        <v xml:space="preserve">AEP West SPP Member Transmission Companies </v>
      </c>
      <c r="B2" s="2002"/>
      <c r="C2" s="2002"/>
      <c r="D2" s="2002"/>
      <c r="E2" s="2002"/>
      <c r="F2" s="2002"/>
      <c r="G2" s="2002"/>
      <c r="H2" s="2002"/>
      <c r="I2" s="2002"/>
    </row>
    <row r="3" spans="1:19" ht="17.5">
      <c r="A3" s="2002" t="str">
        <f>+'OKT WS A-1 - Plant'!A3</f>
        <v xml:space="preserve">Actual / Projected 2019 Rate Year Cost of Service Formula Rate </v>
      </c>
      <c r="B3" s="2002"/>
      <c r="C3" s="2002"/>
      <c r="D3" s="2002"/>
      <c r="E3" s="2002"/>
      <c r="F3" s="2002"/>
      <c r="G3" s="2002"/>
      <c r="H3" s="2002"/>
      <c r="I3" s="2002"/>
      <c r="P3" s="740"/>
    </row>
    <row r="4" spans="1:19" ht="18">
      <c r="A4" s="2002" t="s">
        <v>631</v>
      </c>
      <c r="B4" s="2002"/>
      <c r="C4" s="2002"/>
      <c r="D4" s="2002"/>
      <c r="E4" s="2002"/>
      <c r="F4" s="2002"/>
      <c r="G4" s="2002"/>
      <c r="H4" s="2002"/>
      <c r="I4" s="2002"/>
    </row>
    <row r="5" spans="1:19" ht="18">
      <c r="A5" s="2003" t="str">
        <f>+'OKT TCOS'!F8</f>
        <v>AEP OKLAHOMA TRANSMISSION COMPANY, INC.</v>
      </c>
      <c r="B5" s="2003"/>
      <c r="C5" s="2003"/>
      <c r="D5" s="2003"/>
      <c r="E5" s="2003"/>
      <c r="F5" s="2003"/>
      <c r="G5" s="2003"/>
      <c r="H5" s="2003"/>
      <c r="I5" s="2003"/>
      <c r="P5" s="497"/>
    </row>
    <row r="6" spans="1:19" ht="20">
      <c r="A6" s="508"/>
      <c r="C6" s="741"/>
      <c r="P6" s="740" t="s">
        <v>497</v>
      </c>
    </row>
    <row r="7" spans="1:19" ht="35.25" customHeight="1">
      <c r="A7" s="742" t="s">
        <v>307</v>
      </c>
      <c r="B7" s="743" t="s">
        <v>309</v>
      </c>
      <c r="C7" s="2034" t="str">
        <f>"Calculate Return and Income Taxes with "&amp;F12&amp;" basis point ROE increase for Projects Qualified for Incentive."</f>
        <v>Calculate Return and Income Taxes with 0 basis point ROE increase for Projects Qualified for Incentive.</v>
      </c>
      <c r="D7" s="2000"/>
      <c r="E7" s="2000"/>
      <c r="F7" s="2000"/>
      <c r="G7" s="2000"/>
      <c r="H7" s="2000"/>
      <c r="I7" s="2000"/>
      <c r="J7" s="2005" t="s">
        <v>429</v>
      </c>
      <c r="K7" s="2005"/>
      <c r="L7" s="2005"/>
      <c r="M7" s="2005"/>
      <c r="N7" s="2005"/>
    </row>
    <row r="8" spans="1:19" ht="15.75" customHeight="1">
      <c r="A8" s="742" t="s">
        <v>245</v>
      </c>
      <c r="C8" s="744"/>
      <c r="D8" s="744"/>
      <c r="E8" s="744"/>
      <c r="F8" s="744"/>
      <c r="G8" s="744"/>
      <c r="H8" s="744"/>
      <c r="I8" s="744"/>
      <c r="J8" s="2005"/>
      <c r="K8" s="2005"/>
      <c r="L8" s="2005"/>
      <c r="M8" s="2005"/>
      <c r="N8" s="2005"/>
      <c r="P8" s="497"/>
      <c r="Q8" s="497" t="s">
        <v>165</v>
      </c>
    </row>
    <row r="9" spans="1:19" ht="15.5">
      <c r="C9" s="745" t="str">
        <f>"A.   Determine 'R' with hypothetical "&amp;F12&amp;" basis point increase in ROE for Identified Projects"</f>
        <v>A.   Determine 'R' with hypothetical 0 basis point increase in ROE for Identified Projects</v>
      </c>
      <c r="J9" s="2005"/>
      <c r="K9" s="2005"/>
      <c r="L9" s="2005"/>
      <c r="M9" s="2005"/>
      <c r="N9" s="2005"/>
      <c r="P9" s="746" t="s">
        <v>159</v>
      </c>
      <c r="Q9" s="740" t="s">
        <v>89</v>
      </c>
    </row>
    <row r="10" spans="1:19" ht="18" customHeight="1" thickBot="1">
      <c r="J10" s="2005"/>
      <c r="K10" s="2005"/>
      <c r="L10" s="2005"/>
      <c r="M10" s="2005"/>
      <c r="N10" s="2005"/>
      <c r="P10" s="740" t="s">
        <v>436</v>
      </c>
    </row>
    <row r="11" spans="1:19" ht="13.5" thickBot="1">
      <c r="A11" s="550">
        <v>1</v>
      </c>
      <c r="C11" s="1" t="str">
        <f>"   ROE w/o incentives  (TCOS, ln "&amp;'OKT TCOS'!B237&amp;")"</f>
        <v xml:space="preserve">   ROE w/o incentives  (TCOS, ln 143)</v>
      </c>
      <c r="E11" s="747"/>
      <c r="F11" s="748">
        <f>+'OKT TCOS'!J237</f>
        <v>0.105</v>
      </c>
      <c r="G11" s="748"/>
      <c r="H11" s="749"/>
      <c r="I11" s="750"/>
      <c r="J11" s="744"/>
      <c r="K11" s="744"/>
      <c r="L11" s="744"/>
      <c r="M11" s="744"/>
      <c r="N11" s="744"/>
      <c r="O11" s="751"/>
      <c r="P11" s="752" t="s">
        <v>478</v>
      </c>
      <c r="Q11" s="753" t="s">
        <v>88</v>
      </c>
      <c r="R11" s="754"/>
    </row>
    <row r="12" spans="1:19" ht="18" customHeight="1">
      <c r="A12" s="550">
        <f>+A11+1</f>
        <v>2</v>
      </c>
      <c r="C12" s="1" t="s">
        <v>147</v>
      </c>
      <c r="E12" s="747"/>
      <c r="F12" s="755">
        <v>0</v>
      </c>
      <c r="G12" s="756" t="s">
        <v>337</v>
      </c>
      <c r="I12" s="497"/>
      <c r="J12" s="2028" t="s">
        <v>191</v>
      </c>
      <c r="K12" s="2029"/>
      <c r="L12" s="2029"/>
      <c r="M12" s="2029"/>
      <c r="N12" s="2030"/>
      <c r="O12" s="751"/>
      <c r="P12" s="757">
        <f>+K19</f>
        <v>2019</v>
      </c>
      <c r="Q12" s="758" t="s">
        <v>51</v>
      </c>
      <c r="R12" s="754"/>
    </row>
    <row r="13" spans="1:19" ht="17.25" customHeight="1">
      <c r="A13" s="550">
        <f>+A12+1</f>
        <v>3</v>
      </c>
      <c r="C13" s="1" t="str">
        <f>"   ROE with additional "&amp;F12&amp;" basis point incentive"</f>
        <v xml:space="preserve">   ROE with additional 0 basis point incentive</v>
      </c>
      <c r="D13" s="747"/>
      <c r="E13" s="747"/>
      <c r="F13" s="759">
        <f>IF((F11+(F12/10000)&gt;0.1245),"ERROR",F11+(F12/10000))</f>
        <v>0.105</v>
      </c>
      <c r="G13" s="760" t="s">
        <v>630</v>
      </c>
      <c r="I13" s="761"/>
      <c r="J13" s="2031"/>
      <c r="K13" s="2032"/>
      <c r="L13" s="2032"/>
      <c r="M13" s="2032"/>
      <c r="N13" s="2033"/>
      <c r="O13" s="751"/>
      <c r="P13" s="762">
        <f>+F11</f>
        <v>0.105</v>
      </c>
      <c r="Q13" s="497" t="str">
        <f>+C11</f>
        <v xml:space="preserve">   ROE w/o incentives  (TCOS, ln 143)</v>
      </c>
      <c r="R13" s="763"/>
      <c r="S13" s="599"/>
    </row>
    <row r="14" spans="1:19" ht="16.5" customHeight="1">
      <c r="A14" s="550">
        <f t="shared" ref="A14:A73" si="0">+A13+1</f>
        <v>4</v>
      </c>
      <c r="C14" s="764" t="str">
        <f>"   Determine R  (cost of long term debt, cost of preferred stock and percent is from TCOS, lns "&amp;'OKT TCOS'!B235&amp;" through "&amp;'OKT TCOS'!B237&amp;")"</f>
        <v xml:space="preserve">   Determine R  (cost of long term debt, cost of preferred stock and percent is from TCOS, lns 141 through 143)</v>
      </c>
      <c r="E14" s="747"/>
      <c r="F14" s="759"/>
      <c r="G14" s="759"/>
      <c r="H14" s="747"/>
      <c r="I14" s="761"/>
      <c r="J14" s="2031"/>
      <c r="K14" s="2032"/>
      <c r="L14" s="2032"/>
      <c r="M14" s="2032"/>
      <c r="N14" s="2033"/>
      <c r="O14" s="751"/>
      <c r="P14" s="765">
        <f>+F12</f>
        <v>0</v>
      </c>
      <c r="Q14" s="758" t="s">
        <v>147</v>
      </c>
      <c r="R14" s="763"/>
      <c r="S14" s="599"/>
    </row>
    <row r="15" spans="1:19" ht="16.5" customHeight="1">
      <c r="A15" s="550">
        <f t="shared" si="0"/>
        <v>5</v>
      </c>
      <c r="C15" s="751"/>
      <c r="D15" s="766" t="s">
        <v>284</v>
      </c>
      <c r="E15" s="766" t="s">
        <v>283</v>
      </c>
      <c r="F15" s="767" t="s">
        <v>369</v>
      </c>
      <c r="G15" s="767"/>
      <c r="H15" s="747"/>
      <c r="I15" s="761"/>
      <c r="J15" s="768"/>
      <c r="K15" s="769"/>
      <c r="L15" s="769"/>
      <c r="M15" s="769"/>
      <c r="N15" s="770"/>
      <c r="O15" s="751"/>
      <c r="P15" s="771">
        <f>+D16</f>
        <v>0.44194655758972329</v>
      </c>
      <c r="Q15" s="772" t="s">
        <v>439</v>
      </c>
      <c r="R15" s="763"/>
      <c r="S15" s="599"/>
    </row>
    <row r="16" spans="1:19">
      <c r="A16" s="550">
        <f t="shared" si="0"/>
        <v>6</v>
      </c>
      <c r="C16" s="773" t="s">
        <v>372</v>
      </c>
      <c r="D16" s="774">
        <f>'OKT TCOS'!G235</f>
        <v>0.44194655758972329</v>
      </c>
      <c r="E16" s="775">
        <f>+'OKT TCOS'!J235</f>
        <v>4.114257704572407E-2</v>
      </c>
      <c r="F16" s="776">
        <f>E16*D16</f>
        <v>1.8182820295727719E-2</v>
      </c>
      <c r="G16" s="777"/>
      <c r="H16" s="747"/>
      <c r="I16" s="761"/>
      <c r="J16" s="778"/>
      <c r="K16" s="779"/>
      <c r="L16" s="779"/>
      <c r="M16" s="779"/>
      <c r="N16" s="780"/>
      <c r="O16" s="781"/>
      <c r="P16" s="771">
        <f>+E16</f>
        <v>4.114257704572407E-2</v>
      </c>
      <c r="Q16" s="772" t="s">
        <v>440</v>
      </c>
      <c r="R16" s="763"/>
      <c r="S16" s="599"/>
    </row>
    <row r="17" spans="1:19">
      <c r="A17" s="550">
        <f t="shared" si="0"/>
        <v>7</v>
      </c>
      <c r="C17" s="773" t="s">
        <v>373</v>
      </c>
      <c r="D17" s="774">
        <f>'OKT TCOS'!G236</f>
        <v>0</v>
      </c>
      <c r="E17" s="775">
        <f>+'OKT TCOS'!J236</f>
        <v>0</v>
      </c>
      <c r="F17" s="776">
        <f>E17*D17</f>
        <v>0</v>
      </c>
      <c r="G17" s="777"/>
      <c r="H17" s="782"/>
      <c r="I17" s="782"/>
      <c r="J17" s="783"/>
      <c r="K17" s="784"/>
      <c r="L17" s="751" t="s">
        <v>370</v>
      </c>
      <c r="M17" s="751" t="s">
        <v>431</v>
      </c>
      <c r="N17" s="785" t="s">
        <v>371</v>
      </c>
      <c r="O17" s="786"/>
      <c r="P17" s="771">
        <f>+D17</f>
        <v>0</v>
      </c>
      <c r="Q17" s="772" t="s">
        <v>441</v>
      </c>
      <c r="R17" s="763"/>
      <c r="S17" s="599"/>
    </row>
    <row r="18" spans="1:19">
      <c r="A18" s="550">
        <f t="shared" si="0"/>
        <v>8</v>
      </c>
      <c r="C18" s="773" t="s">
        <v>365</v>
      </c>
      <c r="D18" s="774">
        <f>'OKT TCOS'!G237</f>
        <v>0.55805344241027677</v>
      </c>
      <c r="E18" s="775">
        <f>+F13</f>
        <v>0.105</v>
      </c>
      <c r="F18" s="787">
        <f>E18*D18</f>
        <v>5.8595611453079059E-2</v>
      </c>
      <c r="G18" s="788"/>
      <c r="H18" s="782"/>
      <c r="I18" s="782"/>
      <c r="J18" s="789"/>
      <c r="K18" s="599"/>
      <c r="L18" s="599"/>
      <c r="M18" s="599"/>
      <c r="N18" s="758"/>
      <c r="O18" s="786"/>
      <c r="P18" s="771">
        <f>+E17</f>
        <v>0</v>
      </c>
      <c r="Q18" s="772" t="s">
        <v>442</v>
      </c>
      <c r="R18" s="763"/>
      <c r="S18" s="599"/>
    </row>
    <row r="19" spans="1:19" ht="13" thickBot="1">
      <c r="A19" s="550">
        <f t="shared" si="0"/>
        <v>9</v>
      </c>
      <c r="C19" s="1"/>
      <c r="D19" s="747"/>
      <c r="E19" s="790" t="s">
        <v>374</v>
      </c>
      <c r="F19" s="776">
        <f>SUM(F16:F18)</f>
        <v>7.6778431748806775E-2</v>
      </c>
      <c r="G19" s="777"/>
      <c r="H19" s="791"/>
      <c r="I19" s="782"/>
      <c r="J19" s="792" t="s">
        <v>427</v>
      </c>
      <c r="K19" s="793">
        <f>+'OKT TCOS'!$N$2</f>
        <v>2019</v>
      </c>
      <c r="L19" s="794">
        <f>+P44</f>
        <v>0</v>
      </c>
      <c r="M19" s="794">
        <f>+P45</f>
        <v>0</v>
      </c>
      <c r="N19" s="795">
        <f>+P46</f>
        <v>0</v>
      </c>
      <c r="O19" s="786"/>
      <c r="P19" s="771">
        <f>+D18</f>
        <v>0.55805344241027677</v>
      </c>
      <c r="Q19" s="796" t="s">
        <v>443</v>
      </c>
      <c r="R19" s="763"/>
      <c r="S19" s="599"/>
    </row>
    <row r="20" spans="1:19" ht="13">
      <c r="A20" s="550"/>
      <c r="D20" s="797"/>
      <c r="E20" s="797"/>
      <c r="F20" s="782"/>
      <c r="G20" s="782"/>
      <c r="H20" s="782"/>
      <c r="I20" s="782"/>
      <c r="J20" s="798"/>
      <c r="K20" s="798"/>
      <c r="L20" s="798"/>
      <c r="M20" s="798"/>
      <c r="N20" s="798"/>
      <c r="O20" s="799"/>
      <c r="P20" s="800">
        <f>+E23</f>
        <v>695216659.71242821</v>
      </c>
      <c r="Q20" s="801" t="str">
        <f>+C23</f>
        <v xml:space="preserve">   Rate Base  (TCOS, ln 63)</v>
      </c>
      <c r="R20" s="754"/>
      <c r="S20" s="599"/>
    </row>
    <row r="21" spans="1:19" ht="15.5">
      <c r="A21" s="550"/>
      <c r="C21" s="745" t="str">
        <f>"B.   Determine Return using 'R' with hypothetical "&amp;F12&amp;" basis point ROE increase for Identified Projects."</f>
        <v>B.   Determine Return using 'R' with hypothetical 0 basis point ROE increase for Identified Projects.</v>
      </c>
      <c r="D21" s="797"/>
      <c r="E21" s="797"/>
      <c r="F21" s="782"/>
      <c r="G21" s="782"/>
      <c r="H21" s="782"/>
      <c r="I21" s="747"/>
      <c r="J21" s="802"/>
      <c r="K21" s="798"/>
      <c r="L21" s="798"/>
      <c r="M21" s="798"/>
      <c r="N21" s="798"/>
      <c r="O21" s="799"/>
      <c r="P21" s="803">
        <f>+F30</f>
        <v>0.254714</v>
      </c>
      <c r="Q21" s="758" t="str">
        <f>+C30</f>
        <v xml:space="preserve">   Tax Rate  (TCOS, ln 99)</v>
      </c>
      <c r="R21" s="763"/>
      <c r="S21" s="599"/>
    </row>
    <row r="22" spans="1:19">
      <c r="A22" s="550"/>
      <c r="C22" s="751"/>
      <c r="D22" s="797"/>
      <c r="E22" s="797"/>
      <c r="F22" s="799"/>
      <c r="G22" s="799"/>
      <c r="H22" s="799"/>
      <c r="I22" s="799"/>
      <c r="J22" s="798"/>
      <c r="K22" s="798"/>
      <c r="L22" s="798"/>
      <c r="M22" s="798"/>
      <c r="N22" s="798"/>
      <c r="O22" s="799"/>
      <c r="P22" s="804">
        <f>+F33</f>
        <v>0</v>
      </c>
      <c r="Q22" s="758" t="str">
        <f>+C33</f>
        <v xml:space="preserve">   ITC Adjustment  (TCOS, ln 108)</v>
      </c>
      <c r="R22" s="763"/>
      <c r="S22" s="599"/>
    </row>
    <row r="23" spans="1:19">
      <c r="A23" s="550">
        <f>+A19+1</f>
        <v>10</v>
      </c>
      <c r="C23" s="1" t="str">
        <f>"   Rate Base  (TCOS, ln "&amp;'OKT TCOS'!B113&amp;")"</f>
        <v xml:space="preserve">   Rate Base  (TCOS, ln 63)</v>
      </c>
      <c r="D23" s="747"/>
      <c r="E23" s="805">
        <f>+'OKT TCOS'!L113</f>
        <v>695216659.71242821</v>
      </c>
      <c r="F23" s="806"/>
      <c r="G23" s="806"/>
      <c r="H23" s="799"/>
      <c r="I23" s="799"/>
      <c r="J23" s="798"/>
      <c r="K23" s="798"/>
      <c r="L23" s="798"/>
      <c r="M23" s="798"/>
      <c r="N23" s="798"/>
      <c r="O23" s="799"/>
      <c r="P23" s="804">
        <f>+F34</f>
        <v>726117.49046674673</v>
      </c>
      <c r="Q23" s="758" t="str">
        <f>+C34</f>
        <v xml:space="preserve">   Excess DFIT Adjustment  (TCOS, ln 109)</v>
      </c>
      <c r="R23" s="763"/>
      <c r="S23" s="599"/>
    </row>
    <row r="24" spans="1:19">
      <c r="A24" s="550">
        <f t="shared" si="0"/>
        <v>11</v>
      </c>
      <c r="C24" s="751" t="s">
        <v>343</v>
      </c>
      <c r="D24" s="749"/>
      <c r="E24" s="807">
        <f>F19</f>
        <v>7.6778431748806775E-2</v>
      </c>
      <c r="F24" s="799"/>
      <c r="G24" s="799"/>
      <c r="H24" s="799"/>
      <c r="I24" s="799"/>
      <c r="J24" s="798"/>
      <c r="K24" s="798"/>
      <c r="L24" s="798"/>
      <c r="M24" s="798"/>
      <c r="N24" s="798"/>
      <c r="O24" s="799"/>
      <c r="P24" s="804">
        <f>+F35</f>
        <v>282675.5098042899</v>
      </c>
      <c r="Q24" s="758" t="str">
        <f>+C35</f>
        <v xml:space="preserve">   Tax Effect of Permanent and Flow Through Differences  (TCOS, ln 110)</v>
      </c>
      <c r="R24" s="763"/>
      <c r="S24" s="599"/>
    </row>
    <row r="25" spans="1:19" ht="15.5">
      <c r="A25" s="550">
        <f t="shared" si="0"/>
        <v>12</v>
      </c>
      <c r="C25" s="808" t="s">
        <v>375</v>
      </c>
      <c r="D25" s="808"/>
      <c r="E25" s="809">
        <f>E23*E24</f>
        <v>53377644.85836409</v>
      </c>
      <c r="F25" s="799"/>
      <c r="G25" s="799"/>
      <c r="H25" s="799"/>
      <c r="I25" s="799"/>
      <c r="J25" s="353"/>
      <c r="K25" s="353"/>
      <c r="L25" s="353"/>
      <c r="M25" s="353"/>
      <c r="N25" s="289"/>
      <c r="O25" s="786"/>
      <c r="P25" s="804">
        <f>+F42</f>
        <v>118750671.40136826</v>
      </c>
      <c r="Q25" s="758" t="str">
        <f>+C42</f>
        <v xml:space="preserve">   Net Revenue Requirement  (TCOS, ln 117)</v>
      </c>
      <c r="R25" s="763"/>
      <c r="S25" s="599"/>
    </row>
    <row r="26" spans="1:19" ht="20">
      <c r="A26" s="550"/>
      <c r="C26" s="808"/>
      <c r="D26" s="761"/>
      <c r="E26" s="761"/>
      <c r="F26" s="799"/>
      <c r="G26" s="799"/>
      <c r="H26" s="799"/>
      <c r="I26" s="799"/>
      <c r="J26" s="810" t="s">
        <v>126</v>
      </c>
      <c r="K26" s="811" t="s">
        <v>437</v>
      </c>
      <c r="L26" s="812"/>
      <c r="M26" s="812"/>
      <c r="N26" s="813"/>
      <c r="O26" s="786"/>
      <c r="P26" s="804">
        <f>+F43</f>
        <v>53377644.85836409</v>
      </c>
      <c r="Q26" s="758" t="str">
        <f>+C43</f>
        <v xml:space="preserve">   Return  (TCOS, ln 112)</v>
      </c>
      <c r="R26" s="763"/>
      <c r="S26" s="599"/>
    </row>
    <row r="27" spans="1:19" ht="18">
      <c r="A27" s="550"/>
      <c r="C27" s="745" t="str">
        <f>"C.   Determine Income Taxes using Return with hypothetical "&amp;F12&amp;" basis point ROE increase for Identified Projects."</f>
        <v>C.   Determine Income Taxes using Return with hypothetical 0 basis point ROE increase for Identified Projects.</v>
      </c>
      <c r="D27" s="814"/>
      <c r="E27" s="814"/>
      <c r="F27" s="815"/>
      <c r="G27" s="815"/>
      <c r="H27" s="815"/>
      <c r="I27" s="815"/>
      <c r="J27" s="786"/>
      <c r="K27" s="816" t="s">
        <v>426</v>
      </c>
      <c r="L27" s="817"/>
      <c r="M27" s="817"/>
      <c r="N27" s="813"/>
      <c r="O27" s="818"/>
      <c r="P27" s="804">
        <f>+F44</f>
        <v>14931225.278414734</v>
      </c>
      <c r="Q27" s="758" t="str">
        <f>+C44</f>
        <v xml:space="preserve">   Income Taxes  (TCOS, ln 111)</v>
      </c>
      <c r="R27" s="763"/>
      <c r="S27" s="599"/>
    </row>
    <row r="28" spans="1:19" ht="14.25" customHeight="1">
      <c r="A28" s="550"/>
      <c r="C28" s="1"/>
      <c r="D28" s="761"/>
      <c r="E28" s="761"/>
      <c r="F28" s="799"/>
      <c r="G28" s="799"/>
      <c r="H28" s="799"/>
      <c r="I28" s="799"/>
      <c r="O28" s="786"/>
      <c r="P28" s="804">
        <f>+F45</f>
        <v>0</v>
      </c>
      <c r="Q28" s="758" t="str">
        <f>C45</f>
        <v xml:space="preserve">  Gross Margin Taxes  (TCOS, ln 116)</v>
      </c>
      <c r="R28" s="763"/>
      <c r="S28" s="754"/>
    </row>
    <row r="29" spans="1:19" ht="19.5" customHeight="1">
      <c r="A29" s="550">
        <f>+A25+1</f>
        <v>13</v>
      </c>
      <c r="C29" s="751" t="s">
        <v>376</v>
      </c>
      <c r="D29" s="790"/>
      <c r="F29" s="819">
        <f>E25</f>
        <v>53377644.85836409</v>
      </c>
      <c r="G29" s="799"/>
      <c r="H29" s="799"/>
      <c r="I29" s="799"/>
      <c r="O29" s="799"/>
      <c r="P29" s="804">
        <f>+F55</f>
        <v>27192293.600820702</v>
      </c>
      <c r="Q29" s="758" t="str">
        <f>+C55</f>
        <v xml:space="preserve">   Less: Depreciation  (TCOS, ln 86)</v>
      </c>
      <c r="R29" s="763"/>
      <c r="S29" s="599"/>
    </row>
    <row r="30" spans="1:19">
      <c r="A30" s="550">
        <f t="shared" si="0"/>
        <v>14</v>
      </c>
      <c r="C30" s="1" t="str">
        <f>"   Tax Rate  (TCOS, ln "&amp;'OKT TCOS'!B168&amp;")"</f>
        <v xml:space="preserve">   Tax Rate  (TCOS, ln 99)</v>
      </c>
      <c r="D30" s="790"/>
      <c r="F30" s="820">
        <f>+'OKT TCOS'!G168</f>
        <v>0.254714</v>
      </c>
      <c r="G30" s="799"/>
      <c r="H30" s="799"/>
      <c r="I30" s="799"/>
      <c r="O30" s="799"/>
      <c r="P30" s="803">
        <f>+F61</f>
        <v>0</v>
      </c>
      <c r="Q30" s="758" t="str">
        <f>+C61</f>
        <v xml:space="preserve">       Apportionment Factor to Texas (Worksheet K, ln 12)</v>
      </c>
      <c r="R30" s="763"/>
      <c r="S30" s="599"/>
    </row>
    <row r="31" spans="1:19">
      <c r="A31" s="550">
        <f t="shared" si="0"/>
        <v>15</v>
      </c>
      <c r="C31" s="751" t="s">
        <v>198</v>
      </c>
      <c r="F31" s="759">
        <f>IF(F16&gt;0,($F30/(1-$F30))*(1-$F16/$F19),0)</f>
        <v>0.26082889784827401</v>
      </c>
      <c r="P31" s="804">
        <f>+F71</f>
        <v>847690343.26246154</v>
      </c>
      <c r="Q31" s="758" t="str">
        <f>+C71</f>
        <v xml:space="preserve">   Net Transmission Plant  (TCOS, ln 37)</v>
      </c>
      <c r="R31" s="763"/>
      <c r="S31" s="599"/>
    </row>
    <row r="32" spans="1:19">
      <c r="A32" s="550">
        <f t="shared" si="0"/>
        <v>16</v>
      </c>
      <c r="C32" s="808" t="s">
        <v>199</v>
      </c>
      <c r="F32" s="821">
        <f>F29*F31</f>
        <v>13922432.278143696</v>
      </c>
      <c r="P32" s="822">
        <f>+F77</f>
        <v>0.10800922592579221</v>
      </c>
      <c r="Q32" s="823" t="str">
        <f>+C77</f>
        <v xml:space="preserve">   FCR less Depreciation  (TCOS, ln 10)</v>
      </c>
      <c r="R32" s="763"/>
      <c r="S32" s="824"/>
    </row>
    <row r="33" spans="1:19" ht="15.5">
      <c r="A33" s="550">
        <f t="shared" si="0"/>
        <v>17</v>
      </c>
      <c r="C33" s="1" t="str">
        <f>"   ITC Adjustment  (TCOS, ln "&amp;'OKT TCOS'!B178&amp;")"</f>
        <v xml:space="preserve">   ITC Adjustment  (TCOS, ln 108)</v>
      </c>
      <c r="D33" s="353"/>
      <c r="F33" s="799">
        <f>+'OKT TCOS'!L178</f>
        <v>0</v>
      </c>
      <c r="G33" s="353"/>
      <c r="H33" s="353"/>
      <c r="I33" s="353"/>
      <c r="O33" s="353"/>
      <c r="P33" s="825">
        <f>+F81</f>
        <v>997294681.76923072</v>
      </c>
      <c r="Q33" s="823" t="str">
        <f>+C81</f>
        <v>Transmission Plant Average Balance for 2019 (WS A-1 Ln 14 Col (d))</v>
      </c>
      <c r="R33" s="763"/>
      <c r="S33" s="754"/>
    </row>
    <row r="34" spans="1:19" ht="15.5">
      <c r="A34" s="550">
        <f t="shared" si="0"/>
        <v>18</v>
      </c>
      <c r="C34" s="1" t="str">
        <f>"   Excess DFIT Adjustment  (TCOS, ln "&amp;'OKT TCOS'!B179&amp;")"</f>
        <v xml:space="preserve">   Excess DFIT Adjustment  (TCOS, ln 109)</v>
      </c>
      <c r="D34" s="353"/>
      <c r="F34" s="799">
        <f>+'OKT TCOS'!L179</f>
        <v>726117.49046674673</v>
      </c>
      <c r="G34" s="353"/>
      <c r="H34" s="353"/>
      <c r="I34" s="353"/>
      <c r="O34" s="353"/>
      <c r="P34" s="736">
        <f>+F82</f>
        <v>29216936</v>
      </c>
      <c r="Q34" s="826" t="str">
        <f>+C82</f>
        <v>Annual Depreciation Expense  (TCOS, ln 86)</v>
      </c>
      <c r="R34" s="763"/>
      <c r="S34" s="754"/>
    </row>
    <row r="35" spans="1:19" ht="15.5">
      <c r="A35" s="550">
        <f t="shared" si="0"/>
        <v>19</v>
      </c>
      <c r="C35" s="1" t="str">
        <f>"   Tax Effect of Permanent and Flow Through Differences  (TCOS, ln "&amp;'OKT TCOS'!B180&amp;")"</f>
        <v xml:space="preserve">   Tax Effect of Permanent and Flow Through Differences  (TCOS, ln 110)</v>
      </c>
      <c r="D35" s="353"/>
      <c r="F35" s="799">
        <f>+'OKT TCOS'!L180</f>
        <v>282675.5098042899</v>
      </c>
      <c r="G35" s="353"/>
      <c r="H35" s="353"/>
      <c r="I35" s="353"/>
      <c r="O35" s="353"/>
      <c r="P35" s="497"/>
      <c r="R35" s="763"/>
      <c r="S35" s="754"/>
    </row>
    <row r="36" spans="1:19" ht="15.5">
      <c r="A36" s="550">
        <f t="shared" si="0"/>
        <v>20</v>
      </c>
      <c r="C36" s="808" t="s">
        <v>377</v>
      </c>
      <c r="D36" s="353"/>
      <c r="F36" s="827">
        <f>+SUM(F32:F35)</f>
        <v>14931225.278414734</v>
      </c>
      <c r="G36" s="353"/>
      <c r="H36" s="353"/>
      <c r="I36" s="353"/>
      <c r="O36" s="353"/>
      <c r="P36" s="497"/>
    </row>
    <row r="37" spans="1:19" ht="12.75" customHeight="1">
      <c r="A37" s="550"/>
      <c r="C37" s="317"/>
      <c r="D37" s="353"/>
      <c r="E37" s="353"/>
      <c r="F37" s="353"/>
      <c r="G37" s="353"/>
      <c r="H37" s="353"/>
      <c r="I37" s="353"/>
      <c r="O37" s="353"/>
      <c r="P37" s="578" t="s">
        <v>166</v>
      </c>
      <c r="Q37" s="740" t="s">
        <v>435</v>
      </c>
    </row>
    <row r="38" spans="1:19" ht="18">
      <c r="A38" s="550"/>
      <c r="B38" s="743" t="s">
        <v>310</v>
      </c>
      <c r="C38" s="741" t="str">
        <f>"Calculate Net Plant Carrying Charge Rate (Fixed Charge Rate or FCR) with hypothetical "&amp;F12&amp;" basis point"</f>
        <v>Calculate Net Plant Carrying Charge Rate (Fixed Charge Rate or FCR) with hypothetical 0 basis point</v>
      </c>
      <c r="D38" s="353"/>
      <c r="E38" s="353"/>
      <c r="F38" s="353"/>
      <c r="G38" s="353"/>
      <c r="H38" s="353"/>
      <c r="I38" s="353"/>
      <c r="O38" s="353"/>
      <c r="P38" s="497"/>
    </row>
    <row r="39" spans="1:19" ht="18.75" customHeight="1">
      <c r="A39" s="550"/>
      <c r="B39" s="743"/>
      <c r="C39" s="741" t="str">
        <f>"ROE increase."</f>
        <v>ROE increase.</v>
      </c>
      <c r="D39" s="353"/>
      <c r="E39" s="353"/>
      <c r="F39" s="353"/>
      <c r="G39" s="353"/>
      <c r="H39" s="353"/>
      <c r="I39" s="353"/>
      <c r="O39" s="353"/>
      <c r="P39" s="497"/>
    </row>
    <row r="40" spans="1:19" ht="12.75" customHeight="1">
      <c r="A40" s="550"/>
      <c r="C40" s="317"/>
      <c r="D40" s="353"/>
      <c r="E40" s="353"/>
      <c r="F40" s="353"/>
      <c r="G40" s="353"/>
      <c r="H40" s="353"/>
      <c r="I40" s="353"/>
      <c r="O40" s="353"/>
      <c r="P40" s="740" t="s">
        <v>167</v>
      </c>
      <c r="Q40" s="740" t="s">
        <v>435</v>
      </c>
    </row>
    <row r="41" spans="1:19" ht="15.5">
      <c r="A41" s="550"/>
      <c r="C41" s="745" t="s">
        <v>148</v>
      </c>
      <c r="D41" s="353"/>
      <c r="E41" s="353"/>
      <c r="F41" s="83"/>
      <c r="G41" s="83"/>
      <c r="H41" s="353"/>
      <c r="I41" s="353"/>
      <c r="O41" s="353"/>
      <c r="P41" s="740"/>
      <c r="Q41" s="578"/>
    </row>
    <row r="42" spans="1:19" ht="12.75" customHeight="1">
      <c r="A42" s="550">
        <f>+A36+1</f>
        <v>21</v>
      </c>
      <c r="C42" s="1" t="str">
        <f>"   Net Revenue Requirement  (TCOS, ln "&amp;'OKT TCOS'!B193&amp;")"</f>
        <v xml:space="preserve">   Net Revenue Requirement  (TCOS, ln 117)</v>
      </c>
      <c r="D42" s="828"/>
      <c r="E42" s="828"/>
      <c r="F42" s="799">
        <f>+'OKT TCOS'!L193</f>
        <v>118750671.40136826</v>
      </c>
      <c r="G42" s="799"/>
      <c r="H42" s="828"/>
      <c r="I42" s="828"/>
      <c r="J42" s="828"/>
      <c r="K42" s="828"/>
      <c r="L42" s="828"/>
      <c r="M42" s="828"/>
      <c r="N42" s="799"/>
      <c r="O42" s="828"/>
      <c r="P42" s="829" t="s">
        <v>163</v>
      </c>
      <c r="Q42" s="830" t="s">
        <v>164</v>
      </c>
    </row>
    <row r="43" spans="1:19" ht="13.5" thickBot="1">
      <c r="A43" s="550">
        <f t="shared" si="0"/>
        <v>22</v>
      </c>
      <c r="C43" s="1" t="str">
        <f>"   Return  (TCOS, ln "&amp;'OKT TCOS'!B184&amp;")"</f>
        <v xml:space="preserve">   Return  (TCOS, ln 112)</v>
      </c>
      <c r="D43" s="828"/>
      <c r="E43" s="828"/>
      <c r="F43" s="786">
        <f>+'OKT TCOS'!L184</f>
        <v>53377644.85836409</v>
      </c>
      <c r="G43" s="786"/>
      <c r="H43" s="831"/>
      <c r="I43" s="831"/>
      <c r="J43" s="831"/>
      <c r="K43" s="831"/>
      <c r="L43" s="831"/>
      <c r="M43" s="831"/>
      <c r="N43" s="799"/>
      <c r="O43" s="831"/>
      <c r="P43" s="832" t="s">
        <v>69</v>
      </c>
      <c r="Q43" s="833"/>
    </row>
    <row r="44" spans="1:19">
      <c r="A44" s="550">
        <f t="shared" si="0"/>
        <v>23</v>
      </c>
      <c r="C44" s="1" t="str">
        <f>"   Income Taxes  (TCOS, ln "&amp;'OKT TCOS'!B182&amp;")"</f>
        <v xml:space="preserve">   Income Taxes  (TCOS, ln 111)</v>
      </c>
      <c r="D44" s="828"/>
      <c r="E44" s="828"/>
      <c r="F44" s="799">
        <f>+'OKT TCOS'!L182</f>
        <v>14931225.278414734</v>
      </c>
      <c r="G44" s="799"/>
      <c r="H44" s="828"/>
      <c r="I44" s="828"/>
      <c r="J44" s="834"/>
      <c r="K44" s="834"/>
      <c r="L44" s="834"/>
      <c r="M44" s="834"/>
      <c r="N44" s="828"/>
      <c r="O44" s="834"/>
      <c r="P44" s="835"/>
      <c r="Q44" s="833" t="s">
        <v>160</v>
      </c>
    </row>
    <row r="45" spans="1:19">
      <c r="A45" s="550">
        <f t="shared" si="0"/>
        <v>24</v>
      </c>
      <c r="C45" s="1" t="str">
        <f>"  Gross Margin Taxes  (TCOS, ln "&amp;'OKT TCOS'!B191&amp;")"</f>
        <v xml:space="preserve">  Gross Margin Taxes  (TCOS, ln 116)</v>
      </c>
      <c r="D45" s="828"/>
      <c r="E45" s="828"/>
      <c r="F45" s="836">
        <f>+'OKT TCOS'!L191</f>
        <v>0</v>
      </c>
      <c r="G45" s="799"/>
      <c r="H45" s="828"/>
      <c r="I45" s="828"/>
      <c r="J45" s="834"/>
      <c r="K45" s="834"/>
      <c r="L45" s="834"/>
      <c r="M45" s="834"/>
      <c r="N45" s="828"/>
      <c r="O45" s="834"/>
      <c r="P45" s="837"/>
      <c r="Q45" s="833" t="s">
        <v>161</v>
      </c>
    </row>
    <row r="46" spans="1:19" ht="13" thickBot="1">
      <c r="A46" s="550">
        <f t="shared" si="0"/>
        <v>25</v>
      </c>
      <c r="C46" s="599" t="s">
        <v>23</v>
      </c>
      <c r="D46" s="828"/>
      <c r="E46" s="828"/>
      <c r="F46" s="786">
        <f>F42-F43-F44-F45</f>
        <v>50441801.264589436</v>
      </c>
      <c r="G46" s="786"/>
      <c r="H46" s="784"/>
      <c r="I46" s="828"/>
      <c r="J46" s="784"/>
      <c r="K46" s="784"/>
      <c r="L46" s="784"/>
      <c r="M46" s="784"/>
      <c r="N46" s="784"/>
      <c r="O46" s="784"/>
      <c r="P46" s="838"/>
      <c r="Q46" s="833" t="s">
        <v>162</v>
      </c>
    </row>
    <row r="47" spans="1:19" s="599" customFormat="1">
      <c r="A47" s="550"/>
      <c r="B47" s="497"/>
      <c r="C47" s="1"/>
      <c r="D47" s="828"/>
      <c r="E47" s="828"/>
      <c r="F47" s="799"/>
      <c r="G47" s="799"/>
      <c r="H47" s="839"/>
      <c r="I47" s="840"/>
      <c r="J47" s="840"/>
      <c r="K47" s="840"/>
      <c r="L47" s="840"/>
      <c r="M47" s="840"/>
      <c r="N47" s="840"/>
      <c r="O47" s="840"/>
      <c r="Q47" s="497"/>
      <c r="R47" s="497"/>
      <c r="S47" s="497"/>
    </row>
    <row r="48" spans="1:19" s="599" customFormat="1" ht="15.5">
      <c r="A48" s="550"/>
      <c r="B48" s="497"/>
      <c r="C48" s="745" t="str">
        <f>"B.   Determine Net Revenue Requirement with hypothetical "&amp;F12&amp;" basis point increase in ROE."</f>
        <v>B.   Determine Net Revenue Requirement with hypothetical 0 basis point increase in ROE.</v>
      </c>
      <c r="D48" s="751"/>
      <c r="E48" s="751"/>
      <c r="F48" s="799"/>
      <c r="G48" s="799"/>
      <c r="H48" s="839"/>
      <c r="I48" s="840"/>
      <c r="J48" s="840"/>
      <c r="K48" s="840"/>
      <c r="L48" s="840"/>
      <c r="M48" s="840"/>
      <c r="N48" s="840"/>
      <c r="O48" s="840"/>
      <c r="R48" s="497"/>
      <c r="S48" s="497"/>
    </row>
    <row r="49" spans="1:19" s="599" customFormat="1" ht="13">
      <c r="A49" s="550">
        <f>+A46+1</f>
        <v>26</v>
      </c>
      <c r="B49" s="497"/>
      <c r="C49" s="1" t="str">
        <f>C46</f>
        <v xml:space="preserve">   Net Revenue Requirement, Less Return and Taxes</v>
      </c>
      <c r="D49" s="751"/>
      <c r="E49" s="751"/>
      <c r="F49" s="799">
        <f>F46</f>
        <v>50441801.264589436</v>
      </c>
      <c r="G49" s="799"/>
      <c r="H49" s="828"/>
      <c r="I49" s="828"/>
      <c r="J49" s="828"/>
      <c r="K49" s="828"/>
      <c r="L49" s="828"/>
      <c r="M49" s="828"/>
      <c r="N49" s="841"/>
      <c r="O49" s="828"/>
      <c r="R49" s="497"/>
      <c r="S49" s="497"/>
    </row>
    <row r="50" spans="1:19" s="599" customFormat="1" ht="13">
      <c r="A50" s="550">
        <f t="shared" si="0"/>
        <v>27</v>
      </c>
      <c r="B50" s="497"/>
      <c r="C50" s="751" t="s">
        <v>385</v>
      </c>
      <c r="D50" s="842"/>
      <c r="F50" s="843">
        <f>E25</f>
        <v>53377644.85836409</v>
      </c>
      <c r="G50" s="843"/>
      <c r="I50" s="600"/>
      <c r="Q50" s="497"/>
      <c r="R50" s="497"/>
      <c r="S50" s="497"/>
    </row>
    <row r="51" spans="1:19" s="599" customFormat="1" ht="12.75" customHeight="1">
      <c r="A51" s="550">
        <f t="shared" si="0"/>
        <v>28</v>
      </c>
      <c r="B51" s="497"/>
      <c r="C51" s="1" t="s">
        <v>378</v>
      </c>
      <c r="D51" s="828"/>
      <c r="E51" s="828"/>
      <c r="F51" s="844">
        <f>F36</f>
        <v>14931225.278414734</v>
      </c>
      <c r="G51" s="845"/>
      <c r="H51" s="497"/>
      <c r="I51" s="553"/>
      <c r="J51" s="497"/>
      <c r="K51" s="497"/>
      <c r="L51" s="497"/>
      <c r="M51" s="497"/>
      <c r="N51" s="497"/>
      <c r="Q51" s="497"/>
      <c r="R51" s="497"/>
      <c r="S51" s="497"/>
    </row>
    <row r="52" spans="1:19" s="599" customFormat="1">
      <c r="A52" s="550">
        <f t="shared" si="0"/>
        <v>29</v>
      </c>
      <c r="B52" s="497"/>
      <c r="C52" s="599" t="str">
        <f>"   Net Revenue Requirement, with "&amp;F12&amp;" Basis Point ROE increase"</f>
        <v xml:space="preserve">   Net Revenue Requirement, with 0 Basis Point ROE increase</v>
      </c>
      <c r="D52" s="550"/>
      <c r="E52" s="497"/>
      <c r="F52" s="821">
        <f>SUM(F49:F51)</f>
        <v>118750671.40136826</v>
      </c>
      <c r="G52" s="821"/>
      <c r="H52" s="497"/>
      <c r="I52" s="553"/>
      <c r="J52" s="497"/>
      <c r="K52" s="497"/>
      <c r="L52" s="497"/>
      <c r="M52" s="497"/>
      <c r="N52" s="497"/>
      <c r="Q52" s="497"/>
      <c r="R52" s="497"/>
      <c r="S52" s="497"/>
    </row>
    <row r="53" spans="1:19" s="599" customFormat="1">
      <c r="A53" s="550">
        <f t="shared" si="0"/>
        <v>30</v>
      </c>
      <c r="B53" s="497"/>
      <c r="C53" s="824" t="str">
        <f>"   Gross Margin Tax with "&amp;F86&amp;" Basis Point ROE Increase (II C. below)"</f>
        <v xml:space="preserve">   Gross Margin Tax with  Basis Point ROE Increase (II C. below)</v>
      </c>
      <c r="D53" s="673"/>
      <c r="E53" s="673"/>
      <c r="F53" s="846">
        <f>+F68</f>
        <v>0</v>
      </c>
      <c r="G53" s="843"/>
      <c r="H53" s="497"/>
      <c r="I53" s="553"/>
      <c r="J53" s="497"/>
      <c r="K53" s="497"/>
      <c r="L53" s="497"/>
      <c r="M53" s="497"/>
      <c r="N53" s="497"/>
      <c r="Q53" s="497"/>
      <c r="R53" s="497"/>
      <c r="S53" s="497"/>
    </row>
    <row r="54" spans="1:19" s="599" customFormat="1">
      <c r="A54" s="550">
        <f t="shared" si="0"/>
        <v>31</v>
      </c>
      <c r="B54" s="497"/>
      <c r="C54" s="599" t="s">
        <v>24</v>
      </c>
      <c r="D54" s="550"/>
      <c r="E54" s="497"/>
      <c r="F54" s="843">
        <f>+F52+F53</f>
        <v>118750671.40136826</v>
      </c>
      <c r="G54" s="843"/>
      <c r="H54" s="497"/>
      <c r="I54" s="553"/>
      <c r="J54" s="497"/>
      <c r="K54" s="497"/>
      <c r="L54" s="497"/>
      <c r="M54" s="497"/>
      <c r="N54" s="497"/>
      <c r="Q54" s="497"/>
      <c r="R54" s="497"/>
      <c r="S54" s="497"/>
    </row>
    <row r="55" spans="1:19" s="599" customFormat="1">
      <c r="A55" s="550">
        <f t="shared" si="0"/>
        <v>32</v>
      </c>
      <c r="B55" s="497"/>
      <c r="C55" s="1" t="str">
        <f>"   Less: Depreciation  (TCOS, ln "&amp;'OKT TCOS'!B153&amp;")"</f>
        <v xml:space="preserve">   Less: Depreciation  (TCOS, ln 86)</v>
      </c>
      <c r="D55" s="550"/>
      <c r="E55" s="497"/>
      <c r="F55" s="847">
        <f>+'OKT TCOS'!L153</f>
        <v>27192293.600820702</v>
      </c>
      <c r="G55" s="847"/>
      <c r="H55" s="497"/>
      <c r="I55" s="553"/>
      <c r="J55" s="497"/>
      <c r="K55" s="497"/>
      <c r="L55" s="497"/>
      <c r="M55" s="497"/>
      <c r="N55" s="497"/>
      <c r="Q55" s="497"/>
      <c r="R55" s="497"/>
      <c r="S55" s="497"/>
    </row>
    <row r="56" spans="1:19" s="599" customFormat="1">
      <c r="A56" s="550">
        <f t="shared" si="0"/>
        <v>33</v>
      </c>
      <c r="B56" s="497"/>
      <c r="C56" s="599" t="str">
        <f>"   Net Rev. Req, w/"&amp;F12&amp;" Basis Point ROE increase, less Depreciation"</f>
        <v xml:space="preserve">   Net Rev. Req, w/0 Basis Point ROE increase, less Depreciation</v>
      </c>
      <c r="D56" s="550"/>
      <c r="E56" s="497"/>
      <c r="F56" s="821">
        <f>F54-F55</f>
        <v>91558377.800547555</v>
      </c>
      <c r="G56" s="821"/>
      <c r="H56" s="497"/>
      <c r="I56" s="553"/>
      <c r="J56" s="497"/>
      <c r="K56" s="497"/>
      <c r="L56" s="497"/>
      <c r="M56" s="497"/>
      <c r="N56" s="497"/>
      <c r="Q56" s="497"/>
      <c r="R56" s="497"/>
      <c r="S56" s="497"/>
    </row>
    <row r="57" spans="1:19" s="599" customFormat="1">
      <c r="A57" s="550"/>
      <c r="B57" s="497"/>
      <c r="C57" s="497"/>
      <c r="D57" s="550"/>
      <c r="E57" s="497"/>
      <c r="F57" s="497"/>
      <c r="G57" s="497"/>
      <c r="H57" s="497"/>
      <c r="I57" s="553"/>
      <c r="J57" s="497"/>
      <c r="K57" s="497"/>
      <c r="L57" s="497"/>
      <c r="M57" s="497"/>
      <c r="N57" s="497"/>
      <c r="Q57" s="497"/>
      <c r="R57" s="497"/>
      <c r="S57" s="497"/>
    </row>
    <row r="58" spans="1:19" s="599" customFormat="1" ht="15.5">
      <c r="A58" s="550"/>
      <c r="B58" s="497"/>
      <c r="C58" s="745" t="str">
        <f>"C.   Determine Gross Margin Tax with hypothetical "&amp;F12&amp;" basis point increase in ROE."</f>
        <v>C.   Determine Gross Margin Tax with hypothetical 0 basis point increase in ROE.</v>
      </c>
      <c r="D58" s="673"/>
      <c r="E58" s="673"/>
      <c r="F58" s="821"/>
      <c r="G58" s="821"/>
      <c r="H58" s="497"/>
      <c r="I58" s="553"/>
      <c r="J58" s="497"/>
      <c r="K58" s="497"/>
      <c r="L58" s="497"/>
      <c r="M58" s="497"/>
      <c r="N58" s="497"/>
      <c r="Q58" s="497"/>
      <c r="R58" s="497"/>
      <c r="S58" s="497"/>
    </row>
    <row r="59" spans="1:19" s="599" customFormat="1">
      <c r="A59" s="550">
        <f>+A56+1</f>
        <v>34</v>
      </c>
      <c r="B59" s="497"/>
      <c r="C59" s="824" t="str">
        <f>"   Net Revenue Requirement before Gross Margin Taxes, with "&amp;F12&amp;" "</f>
        <v xml:space="preserve">   Net Revenue Requirement before Gross Margin Taxes, with 0 </v>
      </c>
      <c r="D59" s="673"/>
      <c r="E59" s="673"/>
      <c r="F59" s="821">
        <f>+F52</f>
        <v>118750671.40136826</v>
      </c>
      <c r="G59" s="821"/>
      <c r="H59" s="497"/>
      <c r="I59" s="553"/>
      <c r="J59" s="497"/>
      <c r="K59" s="497"/>
      <c r="L59" s="497"/>
      <c r="M59" s="497"/>
      <c r="N59" s="497"/>
      <c r="Q59" s="497"/>
      <c r="R59" s="497"/>
      <c r="S59" s="497"/>
    </row>
    <row r="60" spans="1:19" s="599" customFormat="1">
      <c r="A60" s="550">
        <f t="shared" si="0"/>
        <v>35</v>
      </c>
      <c r="B60" s="497"/>
      <c r="C60" s="824" t="s">
        <v>25</v>
      </c>
      <c r="D60" s="673"/>
      <c r="E60" s="673"/>
      <c r="F60" s="821"/>
      <c r="G60" s="821"/>
      <c r="H60" s="497"/>
      <c r="I60" s="553"/>
      <c r="J60" s="497"/>
      <c r="K60" s="497"/>
      <c r="L60" s="497"/>
      <c r="M60" s="497"/>
      <c r="N60" s="497"/>
      <c r="Q60" s="497"/>
      <c r="R60" s="497"/>
      <c r="S60" s="497"/>
    </row>
    <row r="61" spans="1:19" s="599" customFormat="1">
      <c r="A61" s="550">
        <f t="shared" si="0"/>
        <v>36</v>
      </c>
      <c r="B61" s="497"/>
      <c r="C61" s="599" t="str">
        <f>"       Apportionment Factor to Texas (Worksheet K, ln "&amp;'OKT WS K State Taxes'!A53&amp;")"</f>
        <v xml:space="preserve">       Apportionment Factor to Texas (Worksheet K, ln 12)</v>
      </c>
      <c r="D61" s="550"/>
      <c r="E61" s="497"/>
      <c r="F61" s="848">
        <f>+'OKT WS K State Taxes'!E53</f>
        <v>0</v>
      </c>
      <c r="G61" s="820"/>
      <c r="H61" s="497"/>
      <c r="I61" s="553"/>
      <c r="J61" s="497"/>
      <c r="K61" s="497"/>
      <c r="L61" s="497"/>
      <c r="M61" s="497"/>
      <c r="N61" s="497"/>
      <c r="Q61" s="497"/>
      <c r="R61" s="497"/>
      <c r="S61" s="497"/>
    </row>
    <row r="62" spans="1:19" s="553" customFormat="1">
      <c r="A62" s="550">
        <f t="shared" si="0"/>
        <v>37</v>
      </c>
      <c r="B62" s="497"/>
      <c r="C62" s="599" t="s">
        <v>26</v>
      </c>
      <c r="D62" s="550"/>
      <c r="E62" s="497"/>
      <c r="F62" s="821">
        <f>+F61*F59</f>
        <v>0</v>
      </c>
      <c r="G62" s="821"/>
      <c r="H62" s="497"/>
      <c r="J62" s="497"/>
      <c r="K62" s="497"/>
      <c r="L62" s="497"/>
      <c r="M62" s="497"/>
      <c r="N62" s="497"/>
      <c r="O62" s="599"/>
      <c r="P62" s="599"/>
      <c r="Q62" s="497"/>
      <c r="R62" s="497"/>
      <c r="S62" s="497"/>
    </row>
    <row r="63" spans="1:19" s="553" customFormat="1">
      <c r="A63" s="550">
        <f t="shared" si="0"/>
        <v>38</v>
      </c>
      <c r="B63" s="497"/>
      <c r="C63" s="599" t="s">
        <v>674</v>
      </c>
      <c r="D63" s="550"/>
      <c r="E63" s="497"/>
      <c r="F63" s="849">
        <v>0.22</v>
      </c>
      <c r="G63" s="850"/>
      <c r="H63" s="497"/>
      <c r="J63" s="497"/>
      <c r="K63" s="497"/>
      <c r="L63" s="497"/>
      <c r="M63" s="497"/>
      <c r="N63" s="497"/>
      <c r="O63" s="599"/>
      <c r="P63" s="599"/>
      <c r="Q63" s="497"/>
      <c r="R63" s="497"/>
      <c r="S63" s="497"/>
    </row>
    <row r="64" spans="1:19" s="553" customFormat="1">
      <c r="A64" s="550">
        <f t="shared" si="0"/>
        <v>39</v>
      </c>
      <c r="B64" s="497"/>
      <c r="C64" s="599" t="s">
        <v>27</v>
      </c>
      <c r="D64" s="550"/>
      <c r="E64" s="497"/>
      <c r="F64" s="821">
        <f>+F62*F63</f>
        <v>0</v>
      </c>
      <c r="G64" s="821"/>
      <c r="H64" s="497"/>
      <c r="J64" s="497"/>
      <c r="K64" s="497"/>
      <c r="L64" s="497"/>
      <c r="M64" s="497"/>
      <c r="N64" s="497"/>
      <c r="O64" s="599"/>
      <c r="P64" s="599"/>
      <c r="Q64" s="497"/>
      <c r="R64" s="497"/>
      <c r="S64" s="497"/>
    </row>
    <row r="65" spans="1:19" s="553" customFormat="1">
      <c r="A65" s="550">
        <f t="shared" si="0"/>
        <v>40</v>
      </c>
      <c r="B65" s="497"/>
      <c r="C65" s="599" t="s">
        <v>28</v>
      </c>
      <c r="D65" s="550"/>
      <c r="E65" s="497"/>
      <c r="F65" s="849">
        <v>0.01</v>
      </c>
      <c r="G65" s="850"/>
      <c r="H65" s="497"/>
      <c r="J65" s="497"/>
      <c r="K65" s="497"/>
      <c r="L65" s="497"/>
      <c r="M65" s="497"/>
      <c r="N65" s="497"/>
      <c r="O65" s="599"/>
      <c r="P65" s="599"/>
      <c r="Q65" s="497"/>
      <c r="R65" s="497"/>
      <c r="S65" s="497"/>
    </row>
    <row r="66" spans="1:19" s="553" customFormat="1">
      <c r="A66" s="550">
        <f t="shared" si="0"/>
        <v>41</v>
      </c>
      <c r="B66" s="497"/>
      <c r="C66" s="599" t="s">
        <v>29</v>
      </c>
      <c r="D66" s="550"/>
      <c r="E66" s="497"/>
      <c r="F66" s="821">
        <f>+F64*F65</f>
        <v>0</v>
      </c>
      <c r="G66" s="821"/>
      <c r="H66" s="497"/>
      <c r="J66" s="497"/>
      <c r="K66" s="497"/>
      <c r="L66" s="497"/>
      <c r="M66" s="497"/>
      <c r="N66" s="497"/>
      <c r="O66" s="599"/>
      <c r="P66" s="599"/>
      <c r="Q66" s="497"/>
      <c r="R66" s="497"/>
      <c r="S66" s="497"/>
    </row>
    <row r="67" spans="1:19" s="553" customFormat="1">
      <c r="A67" s="550">
        <f t="shared" si="0"/>
        <v>42</v>
      </c>
      <c r="B67" s="497"/>
      <c r="C67" s="599" t="s">
        <v>30</v>
      </c>
      <c r="D67" s="550"/>
      <c r="E67" s="497"/>
      <c r="F67" s="851">
        <f>+ROUND((F66*F63*F61)/(1-F65)*F65,0)</f>
        <v>0</v>
      </c>
      <c r="G67" s="695"/>
      <c r="H67" s="497"/>
      <c r="J67" s="497"/>
      <c r="K67" s="497"/>
      <c r="L67" s="497"/>
      <c r="M67" s="497"/>
      <c r="N67" s="497"/>
      <c r="O67" s="599"/>
      <c r="P67" s="599"/>
      <c r="Q67" s="497"/>
      <c r="R67" s="497"/>
      <c r="S67" s="497"/>
    </row>
    <row r="68" spans="1:19" s="553" customFormat="1">
      <c r="A68" s="550">
        <f t="shared" si="0"/>
        <v>43</v>
      </c>
      <c r="B68" s="497"/>
      <c r="C68" s="599" t="s">
        <v>31</v>
      </c>
      <c r="D68" s="550"/>
      <c r="E68" s="497"/>
      <c r="F68" s="821">
        <f>+F66+F67</f>
        <v>0</v>
      </c>
      <c r="G68" s="821"/>
      <c r="H68" s="497"/>
      <c r="J68" s="497"/>
      <c r="K68" s="497"/>
      <c r="L68" s="497"/>
      <c r="M68" s="497"/>
      <c r="N68" s="497"/>
      <c r="O68" s="599"/>
      <c r="P68" s="599"/>
      <c r="Q68" s="497"/>
      <c r="R68" s="497"/>
      <c r="S68" s="497"/>
    </row>
    <row r="69" spans="1:19" s="553" customFormat="1">
      <c r="A69" s="550"/>
      <c r="B69" s="497"/>
      <c r="C69" s="497"/>
      <c r="D69" s="550"/>
      <c r="E69" s="497"/>
      <c r="F69" s="497"/>
      <c r="G69" s="497"/>
      <c r="H69" s="497"/>
      <c r="J69" s="497"/>
      <c r="K69" s="497"/>
      <c r="L69" s="497"/>
      <c r="M69" s="497"/>
      <c r="N69" s="497"/>
      <c r="O69" s="599"/>
      <c r="P69" s="599"/>
      <c r="Q69" s="497"/>
      <c r="R69" s="497"/>
      <c r="S69" s="497"/>
    </row>
    <row r="70" spans="1:19" s="553" customFormat="1" ht="15.5">
      <c r="A70" s="550"/>
      <c r="B70" s="497"/>
      <c r="C70" s="745" t="str">
        <f>"D.   Determine FCR with hypothetical "&amp;F12&amp;" basis point ROE increase."</f>
        <v>D.   Determine FCR with hypothetical 0 basis point ROE increase.</v>
      </c>
      <c r="D70" s="550"/>
      <c r="E70" s="497"/>
      <c r="F70" s="497"/>
      <c r="G70" s="497"/>
      <c r="H70" s="497"/>
      <c r="J70" s="497"/>
      <c r="K70" s="497"/>
      <c r="L70" s="497"/>
      <c r="M70" s="497"/>
      <c r="N70" s="497"/>
      <c r="O70" s="599"/>
      <c r="P70" s="599"/>
      <c r="Q70" s="497"/>
      <c r="R70" s="497"/>
      <c r="S70" s="497"/>
    </row>
    <row r="71" spans="1:19" s="553" customFormat="1">
      <c r="A71" s="550">
        <f>+A68+1</f>
        <v>44</v>
      </c>
      <c r="B71" s="497"/>
      <c r="C71" s="1" t="str">
        <f>"   Net Transmission Plant  (TCOS, ln "&amp;'OKT TCOS'!B79&amp;")"</f>
        <v xml:space="preserve">   Net Transmission Plant  (TCOS, ln 37)</v>
      </c>
      <c r="D71" s="550"/>
      <c r="E71" s="497"/>
      <c r="F71" s="821">
        <f>+'OKT TCOS'!L79</f>
        <v>847690343.26246154</v>
      </c>
      <c r="G71" s="821"/>
      <c r="H71" s="497"/>
      <c r="J71" s="497"/>
      <c r="K71" s="497"/>
      <c r="L71" s="497"/>
      <c r="M71" s="497"/>
      <c r="N71" s="497"/>
      <c r="O71" s="599"/>
      <c r="P71" s="599"/>
      <c r="Q71" s="497"/>
      <c r="R71" s="497"/>
      <c r="S71" s="497"/>
    </row>
    <row r="72" spans="1:19" s="553" customFormat="1" ht="14">
      <c r="A72" s="550">
        <f t="shared" si="0"/>
        <v>45</v>
      </c>
      <c r="B72" s="497"/>
      <c r="C72" s="599" t="str">
        <f>"   Net Revenue Requirement, with "&amp;F12&amp;" Basis Point ROE increase"</f>
        <v xml:space="preserve">   Net Revenue Requirement, with 0 Basis Point ROE increase</v>
      </c>
      <c r="D72" s="550"/>
      <c r="E72" s="497"/>
      <c r="F72" s="852">
        <f>+F54</f>
        <v>118750671.40136826</v>
      </c>
      <c r="G72" s="852"/>
      <c r="H72" s="497"/>
      <c r="J72" s="497"/>
      <c r="K72" s="497"/>
      <c r="L72" s="497"/>
      <c r="M72" s="497"/>
      <c r="N72" s="497"/>
      <c r="O72" s="599"/>
      <c r="P72" s="599"/>
      <c r="Q72" s="497"/>
      <c r="R72" s="497"/>
      <c r="S72" s="497"/>
    </row>
    <row r="73" spans="1:19" s="553" customFormat="1">
      <c r="A73" s="550">
        <f t="shared" si="0"/>
        <v>46</v>
      </c>
      <c r="B73" s="497"/>
      <c r="C73" s="599" t="str">
        <f>"   FCR with "&amp;F12&amp;" Basis Point increase in ROE"</f>
        <v xml:space="preserve">   FCR with 0 Basis Point increase in ROE</v>
      </c>
      <c r="D73" s="550"/>
      <c r="E73" s="497"/>
      <c r="F73" s="762">
        <f>IF(F71=0,0,F72/F71)</f>
        <v>0.14008732356716339</v>
      </c>
      <c r="G73" s="762"/>
      <c r="H73" s="497"/>
      <c r="J73" s="497"/>
      <c r="K73" s="497"/>
      <c r="L73" s="497"/>
      <c r="M73" s="497"/>
      <c r="N73" s="497"/>
      <c r="O73" s="599"/>
      <c r="P73" s="599"/>
      <c r="Q73" s="497"/>
      <c r="R73" s="497"/>
      <c r="S73" s="497"/>
    </row>
    <row r="74" spans="1:19" s="553" customFormat="1">
      <c r="A74" s="550"/>
      <c r="B74" s="497"/>
      <c r="C74" s="497"/>
      <c r="D74" s="550"/>
      <c r="E74" s="497"/>
      <c r="F74" s="497"/>
      <c r="G74" s="497"/>
      <c r="H74" s="762"/>
      <c r="J74" s="497"/>
      <c r="K74" s="497"/>
      <c r="L74" s="497"/>
      <c r="M74" s="497"/>
      <c r="N74" s="497"/>
      <c r="O74" s="599"/>
      <c r="P74" s="599"/>
      <c r="Q74" s="497"/>
      <c r="R74" s="497"/>
      <c r="S74" s="497"/>
    </row>
    <row r="75" spans="1:19" s="553" customFormat="1">
      <c r="A75" s="550">
        <f>+A73+1</f>
        <v>47</v>
      </c>
      <c r="B75" s="497"/>
      <c r="C75" s="599" t="str">
        <f>"   Net Rev. Req, w / "&amp;F12&amp;" Basis Point ROE increase, less Dep."</f>
        <v xml:space="preserve">   Net Rev. Req, w / 0 Basis Point ROE increase, less Dep.</v>
      </c>
      <c r="D75" s="550"/>
      <c r="E75" s="497"/>
      <c r="F75" s="821">
        <f>+F56</f>
        <v>91558377.800547555</v>
      </c>
      <c r="G75" s="821"/>
      <c r="H75" s="497"/>
      <c r="J75" s="497"/>
      <c r="K75" s="497"/>
      <c r="L75" s="497"/>
      <c r="M75" s="497"/>
      <c r="N75" s="497"/>
      <c r="O75" s="599"/>
      <c r="P75" s="599"/>
      <c r="Q75" s="497"/>
      <c r="R75" s="497"/>
      <c r="S75" s="497"/>
    </row>
    <row r="76" spans="1:19" s="553" customFormat="1">
      <c r="A76" s="550">
        <f t="shared" ref="A76:A85" si="1">+A75+1</f>
        <v>48</v>
      </c>
      <c r="B76" s="497"/>
      <c r="C76" s="599" t="str">
        <f>"   FCR with "&amp;F12&amp;" Basis Point ROE increase, less Depreciation"</f>
        <v xml:space="preserve">   FCR with 0 Basis Point ROE increase, less Depreciation</v>
      </c>
      <c r="D76" s="550"/>
      <c r="E76" s="497"/>
      <c r="F76" s="762">
        <f>IF(F71=0,0,F75/F71)</f>
        <v>0.10800922592579221</v>
      </c>
      <c r="G76" s="762"/>
      <c r="H76" s="821"/>
      <c r="J76" s="497"/>
      <c r="K76" s="497"/>
      <c r="L76" s="497"/>
      <c r="M76" s="497"/>
      <c r="N76" s="497"/>
      <c r="O76" s="599"/>
      <c r="P76" s="599"/>
      <c r="Q76" s="497"/>
      <c r="R76" s="497"/>
      <c r="S76" s="497"/>
    </row>
    <row r="77" spans="1:19">
      <c r="A77" s="550">
        <f t="shared" si="1"/>
        <v>49</v>
      </c>
      <c r="C77" s="1" t="str">
        <f>"   FCR less Depreciation  (TCOS, ln "&amp;'OKT TCOS'!B30&amp;")"</f>
        <v xml:space="preserve">   FCR less Depreciation  (TCOS, ln 10)</v>
      </c>
      <c r="F77" s="853">
        <f>+'OKT TCOS'!L30</f>
        <v>0.10800922592579221</v>
      </c>
      <c r="G77" s="853"/>
      <c r="H77" s="854"/>
    </row>
    <row r="78" spans="1:19">
      <c r="A78" s="550">
        <f t="shared" si="1"/>
        <v>50</v>
      </c>
      <c r="C78" s="599" t="str">
        <f>"   Incremental FCR with "&amp;F12&amp;" Basis Point ROE increase, less Depreciation"</f>
        <v xml:space="preserve">   Incremental FCR with 0 Basis Point ROE increase, less Depreciation</v>
      </c>
      <c r="F78" s="762">
        <f>F76-F77</f>
        <v>0</v>
      </c>
      <c r="G78" s="762"/>
    </row>
    <row r="79" spans="1:19">
      <c r="A79" s="550"/>
      <c r="C79" s="599"/>
      <c r="F79" s="762"/>
      <c r="G79" s="762"/>
    </row>
    <row r="80" spans="1:19" ht="18">
      <c r="A80" s="550"/>
      <c r="B80" s="743" t="s">
        <v>311</v>
      </c>
      <c r="C80" s="741" t="s">
        <v>379</v>
      </c>
      <c r="F80" s="762"/>
      <c r="G80" s="762"/>
    </row>
    <row r="81" spans="1:16">
      <c r="A81" s="550">
        <f>+A78+1</f>
        <v>51</v>
      </c>
      <c r="C81" s="599" t="str">
        <f>"Transmission Plant Average Balance for "&amp;'OKT TCOS'!$N$2&amp;" (WS A-1 Ln "&amp;'OKT WS A-1 - Plant'!A24&amp;" Col "&amp;'OKT WS A-1 - Plant'!E9&amp;")"</f>
        <v>Transmission Plant Average Balance for 2019 (WS A-1 Ln 14 Col (d))</v>
      </c>
      <c r="F81" s="600">
        <f>+'OKT WS A-1 - Plant'!E24</f>
        <v>997294681.76923072</v>
      </c>
      <c r="G81" s="600"/>
    </row>
    <row r="82" spans="1:16">
      <c r="A82" s="550">
        <f t="shared" si="1"/>
        <v>52</v>
      </c>
      <c r="C82" s="1" t="str">
        <f>"Annual Depreciation Expense  (TCOS, ln "&amp;'OKT TCOS'!B153&amp;")"</f>
        <v>Annual Depreciation Expense  (TCOS, ln 86)</v>
      </c>
      <c r="F82" s="600">
        <f>+'OKT TCOS'!G153</f>
        <v>29216936</v>
      </c>
      <c r="G82" s="600"/>
    </row>
    <row r="83" spans="1:16">
      <c r="A83" s="550">
        <f t="shared" si="1"/>
        <v>53</v>
      </c>
      <c r="C83" s="599" t="s">
        <v>380</v>
      </c>
      <c r="F83" s="762">
        <f>IF(F81=0,0,F82/F81)</f>
        <v>2.9296191521013908E-2</v>
      </c>
      <c r="G83" s="762"/>
      <c r="I83" s="552"/>
    </row>
    <row r="84" spans="1:16">
      <c r="A84" s="550">
        <f t="shared" si="1"/>
        <v>54</v>
      </c>
      <c r="C84" s="599" t="s">
        <v>381</v>
      </c>
      <c r="F84" s="855">
        <f>IF(F83=0,0,1/F83)</f>
        <v>34.134129662646032</v>
      </c>
      <c r="G84" s="855"/>
    </row>
    <row r="85" spans="1:16">
      <c r="A85" s="550">
        <f t="shared" si="1"/>
        <v>55</v>
      </c>
      <c r="C85" s="599" t="s">
        <v>382</v>
      </c>
      <c r="F85" s="594">
        <f>ROUND(F84,0)</f>
        <v>34</v>
      </c>
      <c r="G85" s="594"/>
    </row>
    <row r="86" spans="1:16">
      <c r="C86" s="599"/>
      <c r="F86" s="594"/>
      <c r="G86" s="594"/>
    </row>
    <row r="87" spans="1:16">
      <c r="C87" s="599"/>
      <c r="F87" s="594"/>
      <c r="G87" s="594"/>
    </row>
    <row r="88" spans="1:16" ht="20">
      <c r="A88" s="856" t="str">
        <f>"'Worksheet F --  "&amp;'OKT TCOS'!F8&amp;" --  Calculation of Projected ARR for SPP Base Plan Upgrade Projects"</f>
        <v>'Worksheet F --  AEP OKLAHOMA TRANSMISSION COMPANY, INC. --  Calculation of Projected ARR for SPP Base Plan Upgrade Projects</v>
      </c>
      <c r="B88" s="482"/>
      <c r="C88" s="599"/>
      <c r="D88" s="857"/>
      <c r="E88" s="482"/>
      <c r="F88" s="858"/>
      <c r="G88" s="482"/>
      <c r="H88" s="859"/>
      <c r="I88" s="482"/>
      <c r="J88" s="860"/>
      <c r="K88" s="861"/>
      <c r="L88" s="861"/>
      <c r="M88" s="861"/>
      <c r="N88" s="862"/>
      <c r="O88" s="482"/>
    </row>
    <row r="89" spans="1:16" ht="17.5">
      <c r="A89" s="482"/>
      <c r="B89" s="482"/>
      <c r="C89" s="482"/>
      <c r="D89" s="857"/>
      <c r="E89" s="482"/>
      <c r="F89" s="482"/>
      <c r="G89" s="482"/>
      <c r="H89" s="859"/>
      <c r="I89" s="482"/>
      <c r="J89" s="860"/>
      <c r="K89" s="482"/>
      <c r="L89" s="482"/>
      <c r="M89" s="482"/>
      <c r="N89" s="863"/>
      <c r="O89" s="482"/>
    </row>
    <row r="90" spans="1:16" ht="18">
      <c r="A90" s="482"/>
      <c r="B90" s="743" t="s">
        <v>312</v>
      </c>
      <c r="C90" s="741" t="s">
        <v>444</v>
      </c>
      <c r="D90" s="857"/>
      <c r="E90" s="482"/>
      <c r="F90" s="482"/>
      <c r="G90" s="482"/>
      <c r="H90" s="859"/>
      <c r="I90" s="859"/>
      <c r="J90" s="864"/>
      <c r="K90" s="859"/>
      <c r="L90" s="859"/>
      <c r="M90" s="859"/>
      <c r="N90" s="859"/>
      <c r="O90" s="482"/>
      <c r="P90" s="865"/>
    </row>
    <row r="91" spans="1:16" ht="16" thickBot="1">
      <c r="A91" s="482"/>
      <c r="B91" s="482"/>
      <c r="C91" s="317"/>
      <c r="D91" s="857"/>
      <c r="E91" s="482"/>
      <c r="F91" s="482"/>
      <c r="G91" s="482"/>
      <c r="H91" s="859"/>
      <c r="I91" s="859"/>
      <c r="J91" s="864"/>
      <c r="K91" s="859"/>
      <c r="L91" s="859"/>
      <c r="M91" s="859"/>
      <c r="N91" s="859"/>
      <c r="O91" s="482"/>
      <c r="P91" s="482"/>
    </row>
    <row r="92" spans="1:16" ht="15.5">
      <c r="A92" s="482"/>
      <c r="B92" s="482"/>
      <c r="C92" s="866" t="s">
        <v>445</v>
      </c>
      <c r="D92" s="857"/>
      <c r="E92" s="482"/>
      <c r="F92" s="482"/>
      <c r="G92" s="867"/>
      <c r="H92" s="868"/>
      <c r="I92" s="482"/>
      <c r="J92" s="860"/>
      <c r="K92" s="869" t="s">
        <v>479</v>
      </c>
      <c r="L92" s="870"/>
      <c r="M92" s="871"/>
      <c r="N92" s="872"/>
      <c r="O92" s="482"/>
      <c r="P92" s="482"/>
    </row>
    <row r="93" spans="1:16" ht="15.5">
      <c r="A93" s="482"/>
      <c r="B93" s="482"/>
      <c r="C93" s="873"/>
      <c r="D93" s="857"/>
      <c r="E93" s="482"/>
      <c r="F93" s="482"/>
      <c r="G93" s="482"/>
      <c r="H93" s="874"/>
      <c r="I93" s="874"/>
      <c r="J93" s="875"/>
      <c r="K93" s="876" t="s">
        <v>480</v>
      </c>
      <c r="L93" s="877"/>
      <c r="M93" s="860"/>
      <c r="N93" s="878"/>
      <c r="O93" s="482"/>
      <c r="P93" s="482"/>
    </row>
    <row r="94" spans="1:16" ht="13.5" thickBot="1">
      <c r="A94" s="482"/>
      <c r="B94" s="482"/>
      <c r="C94" s="578" t="s">
        <v>446</v>
      </c>
      <c r="D94" s="879"/>
      <c r="E94" s="879"/>
      <c r="F94" s="879"/>
      <c r="G94" s="482"/>
      <c r="H94" s="859"/>
      <c r="I94" s="859"/>
      <c r="J94" s="864"/>
      <c r="K94" s="880" t="s">
        <v>447</v>
      </c>
      <c r="L94" s="881"/>
      <c r="M94" s="881"/>
      <c r="N94" s="882">
        <f>+N93-N92</f>
        <v>0</v>
      </c>
      <c r="O94" s="482"/>
      <c r="P94" s="482"/>
    </row>
    <row r="95" spans="1:16" ht="13.5" thickBot="1">
      <c r="A95" s="482"/>
      <c r="B95" s="482"/>
      <c r="C95" s="883"/>
      <c r="D95" s="673"/>
      <c r="E95" s="744"/>
      <c r="F95" s="744"/>
      <c r="G95" s="744"/>
      <c r="H95" s="744"/>
      <c r="I95" s="744"/>
      <c r="J95" s="779"/>
      <c r="K95" s="744"/>
      <c r="L95" s="744"/>
      <c r="M95" s="744"/>
      <c r="N95" s="744"/>
      <c r="O95" s="779"/>
    </row>
    <row r="96" spans="1:16" ht="13.5" thickBot="1">
      <c r="A96" s="482"/>
      <c r="B96" s="482"/>
      <c r="C96" s="884" t="s">
        <v>448</v>
      </c>
      <c r="D96" s="885"/>
      <c r="E96" s="886" t="s">
        <v>639</v>
      </c>
      <c r="F96" s="887"/>
      <c r="G96" s="887"/>
      <c r="H96" s="887"/>
      <c r="I96" s="888"/>
      <c r="J96" s="889"/>
      <c r="K96" s="482"/>
      <c r="L96" s="482"/>
      <c r="M96" s="482"/>
      <c r="N96" s="482"/>
      <c r="O96" s="890"/>
      <c r="P96" s="860"/>
    </row>
    <row r="97" spans="1:16" ht="13">
      <c r="A97" s="482"/>
      <c r="B97" s="482"/>
      <c r="C97" s="891" t="s">
        <v>449</v>
      </c>
      <c r="D97" s="892"/>
      <c r="E97" s="824" t="s">
        <v>51</v>
      </c>
      <c r="F97" s="890"/>
      <c r="G97" s="893"/>
      <c r="H97" s="893"/>
      <c r="I97" s="894">
        <f>+K19</f>
        <v>2019</v>
      </c>
      <c r="J97" s="889"/>
      <c r="K97" s="864" t="s">
        <v>450</v>
      </c>
      <c r="L97" s="482"/>
      <c r="M97" s="482"/>
      <c r="N97" s="482"/>
      <c r="O97" s="860"/>
      <c r="P97" s="860"/>
    </row>
    <row r="98" spans="1:16">
      <c r="A98" s="482"/>
      <c r="B98" s="482"/>
      <c r="C98" s="789" t="s">
        <v>451</v>
      </c>
      <c r="D98" s="895"/>
      <c r="E98" s="789" t="s">
        <v>452</v>
      </c>
      <c r="F98" s="893"/>
      <c r="G98" s="860"/>
      <c r="H98" s="860"/>
      <c r="I98" s="896">
        <f>+F12</f>
        <v>0</v>
      </c>
      <c r="J98" s="897"/>
      <c r="K98" s="482" t="str">
        <f>"          INPUT PROJECTED ARR (WITH &amp; WITHOUT INCENTIVES) FROM EACH PRIOR YEAR"</f>
        <v xml:space="preserve">          INPUT PROJECTED ARR (WITH &amp; WITHOUT INCENTIVES) FROM EACH PRIOR YEAR</v>
      </c>
      <c r="L98" s="482"/>
      <c r="M98" s="482"/>
      <c r="N98" s="482"/>
      <c r="O98" s="860"/>
      <c r="P98" s="860"/>
    </row>
    <row r="99" spans="1:16">
      <c r="A99" s="482"/>
      <c r="B99" s="482"/>
      <c r="C99" s="789" t="s">
        <v>453</v>
      </c>
      <c r="D99" s="892">
        <v>0</v>
      </c>
      <c r="E99" s="789" t="s">
        <v>454</v>
      </c>
      <c r="F99" s="893"/>
      <c r="G99" s="860"/>
      <c r="H99" s="860"/>
      <c r="I99" s="898">
        <f>+F77</f>
        <v>0.10800922592579221</v>
      </c>
      <c r="J99" s="820"/>
      <c r="K99" s="482" t="s">
        <v>455</v>
      </c>
      <c r="L99" s="482"/>
      <c r="M99" s="482"/>
      <c r="N99" s="482"/>
      <c r="O99" s="860"/>
      <c r="P99" s="860"/>
    </row>
    <row r="100" spans="1:16">
      <c r="A100" s="482"/>
      <c r="B100" s="482"/>
      <c r="C100" s="789" t="s">
        <v>456</v>
      </c>
      <c r="D100" s="892">
        <v>0</v>
      </c>
      <c r="E100" s="789" t="s">
        <v>457</v>
      </c>
      <c r="F100" s="893"/>
      <c r="G100" s="860"/>
      <c r="H100" s="860"/>
      <c r="I100" s="898">
        <f>IF(G92="",I99,F76)</f>
        <v>0.10800922592579221</v>
      </c>
      <c r="J100" s="820"/>
      <c r="K100" s="864" t="s">
        <v>458</v>
      </c>
      <c r="L100" s="899"/>
      <c r="M100" s="899"/>
      <c r="N100" s="899"/>
      <c r="O100" s="860"/>
      <c r="P100" s="860"/>
    </row>
    <row r="101" spans="1:16" ht="13" thickBot="1">
      <c r="A101" s="482"/>
      <c r="B101" s="482"/>
      <c r="C101" s="789" t="s">
        <v>459</v>
      </c>
      <c r="D101" s="895"/>
      <c r="E101" s="860" t="s">
        <v>460</v>
      </c>
      <c r="F101" s="893"/>
      <c r="G101" s="860"/>
      <c r="H101" s="860"/>
      <c r="I101" s="900">
        <f>IF(D97=0,0,D97/D100)</f>
        <v>0</v>
      </c>
      <c r="J101" s="864"/>
      <c r="K101" s="864"/>
      <c r="L101" s="864"/>
      <c r="M101" s="864"/>
      <c r="N101" s="864"/>
      <c r="O101" s="860"/>
      <c r="P101" s="860"/>
    </row>
    <row r="102" spans="1:16" ht="66" customHeight="1">
      <c r="A102" s="482"/>
      <c r="B102" s="482"/>
      <c r="C102" s="901" t="s">
        <v>383</v>
      </c>
      <c r="D102" s="902" t="s">
        <v>461</v>
      </c>
      <c r="E102" s="902" t="s">
        <v>462</v>
      </c>
      <c r="F102" s="902" t="s">
        <v>463</v>
      </c>
      <c r="G102" s="903" t="s">
        <v>464</v>
      </c>
      <c r="H102" s="904" t="s">
        <v>465</v>
      </c>
      <c r="I102" s="901" t="s">
        <v>466</v>
      </c>
      <c r="J102" s="905"/>
      <c r="K102" s="906" t="s">
        <v>467</v>
      </c>
      <c r="L102" s="907" t="s">
        <v>468</v>
      </c>
      <c r="M102" s="906" t="s">
        <v>467</v>
      </c>
      <c r="N102" s="907" t="s">
        <v>468</v>
      </c>
      <c r="O102" s="908" t="s">
        <v>469</v>
      </c>
      <c r="P102" s="860"/>
    </row>
    <row r="103" spans="1:16" ht="15" customHeight="1" thickBot="1">
      <c r="A103" s="482"/>
      <c r="B103" s="482"/>
      <c r="C103" s="909" t="s">
        <v>470</v>
      </c>
      <c r="D103" s="910" t="s">
        <v>315</v>
      </c>
      <c r="E103" s="910" t="s">
        <v>214</v>
      </c>
      <c r="F103" s="910" t="s">
        <v>315</v>
      </c>
      <c r="G103" s="911" t="s">
        <v>471</v>
      </c>
      <c r="H103" s="912" t="s">
        <v>472</v>
      </c>
      <c r="I103" s="913" t="s">
        <v>632</v>
      </c>
      <c r="J103" s="914" t="s">
        <v>473</v>
      </c>
      <c r="K103" s="915" t="s">
        <v>474</v>
      </c>
      <c r="L103" s="916" t="s">
        <v>474</v>
      </c>
      <c r="M103" s="915" t="s">
        <v>633</v>
      </c>
      <c r="N103" s="917" t="s">
        <v>633</v>
      </c>
      <c r="O103" s="915" t="s">
        <v>633</v>
      </c>
      <c r="P103" s="860"/>
    </row>
    <row r="104" spans="1:16">
      <c r="A104" s="482"/>
      <c r="B104" s="857"/>
      <c r="C104" s="918" t="str">
        <f>IF(D98= "","-",D98)</f>
        <v>-</v>
      </c>
      <c r="D104" s="919">
        <f>D97</f>
        <v>0</v>
      </c>
      <c r="E104" s="920">
        <f>I101/12*(12-D99)</f>
        <v>0</v>
      </c>
      <c r="F104" s="919">
        <f t="shared" ref="F104:F159" si="2">+D104-E104</f>
        <v>0</v>
      </c>
      <c r="G104" s="920">
        <f>+I99*F104+E104</f>
        <v>0</v>
      </c>
      <c r="H104" s="900">
        <f>+I100*F104+E104</f>
        <v>0</v>
      </c>
      <c r="I104" s="921">
        <f t="shared" ref="I104:I159" si="3">H104-G104</f>
        <v>0</v>
      </c>
      <c r="J104" s="921"/>
      <c r="K104" s="922"/>
      <c r="L104" s="923">
        <f t="shared" ref="L104:L159" si="4">IF(K104&lt;&gt;0,+G104-K104,0)</f>
        <v>0</v>
      </c>
      <c r="M104" s="922"/>
      <c r="N104" s="923">
        <f t="shared" ref="N104:N159" si="5">IF(M104&lt;&gt;0,+H104-M104,0)</f>
        <v>0</v>
      </c>
      <c r="O104" s="924">
        <f t="shared" ref="O104:O159" si="6">+N104-L104</f>
        <v>0</v>
      </c>
      <c r="P104" s="860"/>
    </row>
    <row r="105" spans="1:16">
      <c r="A105" s="482"/>
      <c r="B105" s="857" t="str">
        <f>IF(D105=F104,"","IU")</f>
        <v/>
      </c>
      <c r="C105" s="918" t="str">
        <f>IF(D98="","-",+C104+1)</f>
        <v>-</v>
      </c>
      <c r="D105" s="925">
        <f t="shared" ref="D105:D159" si="7">F104</f>
        <v>0</v>
      </c>
      <c r="E105" s="926">
        <f>IF(+I101&lt;F104,I101,D105)</f>
        <v>0</v>
      </c>
      <c r="F105" s="925">
        <f t="shared" si="2"/>
        <v>0</v>
      </c>
      <c r="G105" s="926">
        <f>+I$11*F105+E105</f>
        <v>0</v>
      </c>
      <c r="H105" s="900">
        <f>+I$12*F105+E105</f>
        <v>0</v>
      </c>
      <c r="I105" s="921">
        <f t="shared" si="3"/>
        <v>0</v>
      </c>
      <c r="J105" s="921"/>
      <c r="K105" s="927"/>
      <c r="L105" s="924">
        <f t="shared" si="4"/>
        <v>0</v>
      </c>
      <c r="M105" s="927"/>
      <c r="N105" s="924">
        <f t="shared" si="5"/>
        <v>0</v>
      </c>
      <c r="O105" s="924">
        <f t="shared" si="6"/>
        <v>0</v>
      </c>
      <c r="P105" s="860"/>
    </row>
    <row r="106" spans="1:16">
      <c r="A106" s="482"/>
      <c r="B106" s="857" t="str">
        <f>IF(D106=F105,"","IU")</f>
        <v/>
      </c>
      <c r="C106" s="918" t="str">
        <f>IF(D98="","-",+C105+1)</f>
        <v>-</v>
      </c>
      <c r="D106" s="925">
        <f t="shared" si="7"/>
        <v>0</v>
      </c>
      <c r="E106" s="926">
        <f>IF(+I101&lt;F105,I101,D106)</f>
        <v>0</v>
      </c>
      <c r="F106" s="925">
        <f t="shared" si="2"/>
        <v>0</v>
      </c>
      <c r="G106" s="926">
        <f t="shared" ref="G106:G159" si="8">+I$11*F106+E106</f>
        <v>0</v>
      </c>
      <c r="H106" s="900">
        <f t="shared" ref="H106:H159" si="9">+I$12*F106+E106</f>
        <v>0</v>
      </c>
      <c r="I106" s="921">
        <f t="shared" si="3"/>
        <v>0</v>
      </c>
      <c r="J106" s="921"/>
      <c r="K106" s="927"/>
      <c r="L106" s="924">
        <f t="shared" si="4"/>
        <v>0</v>
      </c>
      <c r="M106" s="927"/>
      <c r="N106" s="924">
        <f t="shared" si="5"/>
        <v>0</v>
      </c>
      <c r="O106" s="924">
        <f t="shared" si="6"/>
        <v>0</v>
      </c>
      <c r="P106" s="860"/>
    </row>
    <row r="107" spans="1:16">
      <c r="A107" s="482"/>
      <c r="B107" s="857" t="str">
        <f t="shared" ref="B107:B159" si="10">IF(D107=F106,"","IU")</f>
        <v/>
      </c>
      <c r="C107" s="918" t="str">
        <f>IF(D98="","-",+C106+1)</f>
        <v>-</v>
      </c>
      <c r="D107" s="925">
        <f t="shared" si="7"/>
        <v>0</v>
      </c>
      <c r="E107" s="926">
        <f>IF(+I101&lt;F106,I101,D107)</f>
        <v>0</v>
      </c>
      <c r="F107" s="925">
        <f t="shared" si="2"/>
        <v>0</v>
      </c>
      <c r="G107" s="926">
        <f t="shared" si="8"/>
        <v>0</v>
      </c>
      <c r="H107" s="900">
        <f t="shared" si="9"/>
        <v>0</v>
      </c>
      <c r="I107" s="921">
        <f t="shared" si="3"/>
        <v>0</v>
      </c>
      <c r="J107" s="921"/>
      <c r="K107" s="927"/>
      <c r="L107" s="924">
        <f t="shared" si="4"/>
        <v>0</v>
      </c>
      <c r="M107" s="927"/>
      <c r="N107" s="924">
        <f t="shared" si="5"/>
        <v>0</v>
      </c>
      <c r="O107" s="924">
        <f t="shared" si="6"/>
        <v>0</v>
      </c>
      <c r="P107" s="860"/>
    </row>
    <row r="108" spans="1:16">
      <c r="A108" s="482"/>
      <c r="B108" s="857" t="str">
        <f t="shared" si="10"/>
        <v/>
      </c>
      <c r="C108" s="918" t="str">
        <f>IF(D98="","-",+C107+1)</f>
        <v>-</v>
      </c>
      <c r="D108" s="925">
        <f t="shared" si="7"/>
        <v>0</v>
      </c>
      <c r="E108" s="926">
        <f>IF(+I101&lt;F107,I101,D108)</f>
        <v>0</v>
      </c>
      <c r="F108" s="925">
        <f t="shared" si="2"/>
        <v>0</v>
      </c>
      <c r="G108" s="926">
        <f t="shared" si="8"/>
        <v>0</v>
      </c>
      <c r="H108" s="900">
        <f t="shared" si="9"/>
        <v>0</v>
      </c>
      <c r="I108" s="921">
        <f t="shared" si="3"/>
        <v>0</v>
      </c>
      <c r="J108" s="921"/>
      <c r="K108" s="927"/>
      <c r="L108" s="924">
        <f t="shared" si="4"/>
        <v>0</v>
      </c>
      <c r="M108" s="927"/>
      <c r="N108" s="924">
        <f t="shared" si="5"/>
        <v>0</v>
      </c>
      <c r="O108" s="924">
        <f t="shared" si="6"/>
        <v>0</v>
      </c>
      <c r="P108" s="860"/>
    </row>
    <row r="109" spans="1:16">
      <c r="A109" s="482"/>
      <c r="B109" s="857" t="str">
        <f t="shared" si="10"/>
        <v/>
      </c>
      <c r="C109" s="918" t="str">
        <f>IF(D98="","-",+C108+1)</f>
        <v>-</v>
      </c>
      <c r="D109" s="925">
        <f t="shared" si="7"/>
        <v>0</v>
      </c>
      <c r="E109" s="926">
        <f>IF(+I101&lt;F108,I101,D109)</f>
        <v>0</v>
      </c>
      <c r="F109" s="925">
        <f t="shared" si="2"/>
        <v>0</v>
      </c>
      <c r="G109" s="926">
        <f t="shared" si="8"/>
        <v>0</v>
      </c>
      <c r="H109" s="900">
        <f t="shared" si="9"/>
        <v>0</v>
      </c>
      <c r="I109" s="921">
        <f t="shared" si="3"/>
        <v>0</v>
      </c>
      <c r="J109" s="921"/>
      <c r="K109" s="927"/>
      <c r="L109" s="924">
        <f t="shared" si="4"/>
        <v>0</v>
      </c>
      <c r="M109" s="927"/>
      <c r="N109" s="924">
        <f t="shared" si="5"/>
        <v>0</v>
      </c>
      <c r="O109" s="924">
        <f t="shared" si="6"/>
        <v>0</v>
      </c>
      <c r="P109" s="860"/>
    </row>
    <row r="110" spans="1:16">
      <c r="A110" s="482"/>
      <c r="B110" s="857" t="str">
        <f t="shared" si="10"/>
        <v/>
      </c>
      <c r="C110" s="918" t="str">
        <f>IF(D98="","-",+C109+1)</f>
        <v>-</v>
      </c>
      <c r="D110" s="925">
        <f t="shared" si="7"/>
        <v>0</v>
      </c>
      <c r="E110" s="926">
        <f>IF(+I101&lt;F109,I101,D110)</f>
        <v>0</v>
      </c>
      <c r="F110" s="925">
        <f t="shared" si="2"/>
        <v>0</v>
      </c>
      <c r="G110" s="926">
        <f t="shared" si="8"/>
        <v>0</v>
      </c>
      <c r="H110" s="900">
        <f t="shared" si="9"/>
        <v>0</v>
      </c>
      <c r="I110" s="921">
        <f t="shared" si="3"/>
        <v>0</v>
      </c>
      <c r="J110" s="921"/>
      <c r="K110" s="927"/>
      <c r="L110" s="924">
        <f t="shared" si="4"/>
        <v>0</v>
      </c>
      <c r="M110" s="927"/>
      <c r="N110" s="924">
        <f t="shared" si="5"/>
        <v>0</v>
      </c>
      <c r="O110" s="924">
        <f t="shared" si="6"/>
        <v>0</v>
      </c>
      <c r="P110" s="860"/>
    </row>
    <row r="111" spans="1:16">
      <c r="A111" s="482"/>
      <c r="B111" s="857" t="str">
        <f t="shared" si="10"/>
        <v/>
      </c>
      <c r="C111" s="918" t="str">
        <f>IF(D98="","-",+C110+1)</f>
        <v>-</v>
      </c>
      <c r="D111" s="925">
        <f t="shared" si="7"/>
        <v>0</v>
      </c>
      <c r="E111" s="926">
        <f>IF(+I101&lt;F110,I101,D111)</f>
        <v>0</v>
      </c>
      <c r="F111" s="925">
        <f t="shared" si="2"/>
        <v>0</v>
      </c>
      <c r="G111" s="926">
        <f t="shared" si="8"/>
        <v>0</v>
      </c>
      <c r="H111" s="900">
        <f t="shared" si="9"/>
        <v>0</v>
      </c>
      <c r="I111" s="921">
        <f t="shared" si="3"/>
        <v>0</v>
      </c>
      <c r="J111" s="921"/>
      <c r="K111" s="927"/>
      <c r="L111" s="924">
        <f t="shared" si="4"/>
        <v>0</v>
      </c>
      <c r="M111" s="927"/>
      <c r="N111" s="924">
        <f t="shared" si="5"/>
        <v>0</v>
      </c>
      <c r="O111" s="924">
        <f t="shared" si="6"/>
        <v>0</v>
      </c>
      <c r="P111" s="860"/>
    </row>
    <row r="112" spans="1:16">
      <c r="A112" s="482"/>
      <c r="B112" s="857" t="str">
        <f t="shared" si="10"/>
        <v/>
      </c>
      <c r="C112" s="918" t="str">
        <f>IF(D98="","-",+C111+1)</f>
        <v>-</v>
      </c>
      <c r="D112" s="925">
        <f t="shared" si="7"/>
        <v>0</v>
      </c>
      <c r="E112" s="926">
        <f>IF(+I101&lt;F111,I101,D112)</f>
        <v>0</v>
      </c>
      <c r="F112" s="925">
        <f t="shared" si="2"/>
        <v>0</v>
      </c>
      <c r="G112" s="926">
        <f t="shared" si="8"/>
        <v>0</v>
      </c>
      <c r="H112" s="900">
        <f t="shared" si="9"/>
        <v>0</v>
      </c>
      <c r="I112" s="921">
        <f t="shared" si="3"/>
        <v>0</v>
      </c>
      <c r="J112" s="921"/>
      <c r="K112" s="927"/>
      <c r="L112" s="924">
        <f t="shared" si="4"/>
        <v>0</v>
      </c>
      <c r="M112" s="927"/>
      <c r="N112" s="924">
        <f t="shared" si="5"/>
        <v>0</v>
      </c>
      <c r="O112" s="924">
        <f t="shared" si="6"/>
        <v>0</v>
      </c>
      <c r="P112" s="860"/>
    </row>
    <row r="113" spans="1:16">
      <c r="A113" s="482"/>
      <c r="B113" s="857" t="str">
        <f t="shared" si="10"/>
        <v/>
      </c>
      <c r="C113" s="918" t="str">
        <f>IF(D98="","-",+C112+1)</f>
        <v>-</v>
      </c>
      <c r="D113" s="925">
        <f t="shared" si="7"/>
        <v>0</v>
      </c>
      <c r="E113" s="926">
        <f>IF(+I101&lt;F112,I101,D113)</f>
        <v>0</v>
      </c>
      <c r="F113" s="925">
        <f t="shared" si="2"/>
        <v>0</v>
      </c>
      <c r="G113" s="926">
        <f t="shared" si="8"/>
        <v>0</v>
      </c>
      <c r="H113" s="900">
        <f t="shared" si="9"/>
        <v>0</v>
      </c>
      <c r="I113" s="921">
        <f t="shared" si="3"/>
        <v>0</v>
      </c>
      <c r="J113" s="921"/>
      <c r="K113" s="927"/>
      <c r="L113" s="924">
        <f t="shared" si="4"/>
        <v>0</v>
      </c>
      <c r="M113" s="927"/>
      <c r="N113" s="924">
        <f t="shared" si="5"/>
        <v>0</v>
      </c>
      <c r="O113" s="924">
        <f t="shared" si="6"/>
        <v>0</v>
      </c>
      <c r="P113" s="860"/>
    </row>
    <row r="114" spans="1:16">
      <c r="A114" s="482"/>
      <c r="B114" s="857" t="str">
        <f t="shared" si="10"/>
        <v/>
      </c>
      <c r="C114" s="918" t="str">
        <f>IF(D98="","-",+C113+1)</f>
        <v>-</v>
      </c>
      <c r="D114" s="928">
        <f t="shared" si="7"/>
        <v>0</v>
      </c>
      <c r="E114" s="926">
        <f>IF(+I101&lt;F113,I101,D114)</f>
        <v>0</v>
      </c>
      <c r="F114" s="925">
        <f t="shared" si="2"/>
        <v>0</v>
      </c>
      <c r="G114" s="926">
        <f t="shared" si="8"/>
        <v>0</v>
      </c>
      <c r="H114" s="900">
        <f t="shared" si="9"/>
        <v>0</v>
      </c>
      <c r="I114" s="921">
        <f t="shared" si="3"/>
        <v>0</v>
      </c>
      <c r="J114" s="921"/>
      <c r="K114" s="927"/>
      <c r="L114" s="924">
        <f t="shared" si="4"/>
        <v>0</v>
      </c>
      <c r="M114" s="927"/>
      <c r="N114" s="924">
        <f t="shared" si="5"/>
        <v>0</v>
      </c>
      <c r="O114" s="924">
        <f t="shared" si="6"/>
        <v>0</v>
      </c>
      <c r="P114" s="860"/>
    </row>
    <row r="115" spans="1:16">
      <c r="A115" s="482"/>
      <c r="B115" s="857" t="str">
        <f t="shared" si="10"/>
        <v/>
      </c>
      <c r="C115" s="918" t="str">
        <f>IF(D98="","-",+C114+1)</f>
        <v>-</v>
      </c>
      <c r="D115" s="925">
        <f t="shared" si="7"/>
        <v>0</v>
      </c>
      <c r="E115" s="926">
        <f>IF(+I101&lt;F114,I101,D115)</f>
        <v>0</v>
      </c>
      <c r="F115" s="925">
        <f t="shared" si="2"/>
        <v>0</v>
      </c>
      <c r="G115" s="926">
        <f t="shared" si="8"/>
        <v>0</v>
      </c>
      <c r="H115" s="900">
        <f t="shared" si="9"/>
        <v>0</v>
      </c>
      <c r="I115" s="921">
        <f t="shared" si="3"/>
        <v>0</v>
      </c>
      <c r="J115" s="921"/>
      <c r="K115" s="927"/>
      <c r="L115" s="924">
        <f t="shared" si="4"/>
        <v>0</v>
      </c>
      <c r="M115" s="927"/>
      <c r="N115" s="924">
        <f t="shared" si="5"/>
        <v>0</v>
      </c>
      <c r="O115" s="924">
        <f t="shared" si="6"/>
        <v>0</v>
      </c>
      <c r="P115" s="860"/>
    </row>
    <row r="116" spans="1:16">
      <c r="A116" s="482"/>
      <c r="B116" s="857" t="str">
        <f t="shared" si="10"/>
        <v/>
      </c>
      <c r="C116" s="918" t="str">
        <f>IF(D98="","-",+C115+1)</f>
        <v>-</v>
      </c>
      <c r="D116" s="925">
        <f t="shared" si="7"/>
        <v>0</v>
      </c>
      <c r="E116" s="926">
        <f>IF(+I101&lt;F115,I101,D116)</f>
        <v>0</v>
      </c>
      <c r="F116" s="925">
        <f t="shared" si="2"/>
        <v>0</v>
      </c>
      <c r="G116" s="926">
        <f t="shared" si="8"/>
        <v>0</v>
      </c>
      <c r="H116" s="900">
        <f t="shared" si="9"/>
        <v>0</v>
      </c>
      <c r="I116" s="921">
        <f t="shared" si="3"/>
        <v>0</v>
      </c>
      <c r="J116" s="921"/>
      <c r="K116" s="927"/>
      <c r="L116" s="924">
        <f t="shared" si="4"/>
        <v>0</v>
      </c>
      <c r="M116" s="927"/>
      <c r="N116" s="924">
        <f t="shared" si="5"/>
        <v>0</v>
      </c>
      <c r="O116" s="924">
        <f t="shared" si="6"/>
        <v>0</v>
      </c>
      <c r="P116" s="860"/>
    </row>
    <row r="117" spans="1:16">
      <c r="A117" s="482"/>
      <c r="B117" s="857" t="str">
        <f t="shared" si="10"/>
        <v/>
      </c>
      <c r="C117" s="918" t="str">
        <f>IF(D98="","-",+C116+1)</f>
        <v>-</v>
      </c>
      <c r="D117" s="925">
        <f t="shared" si="7"/>
        <v>0</v>
      </c>
      <c r="E117" s="926">
        <f>IF(+I101&lt;F116,I101,D117)</f>
        <v>0</v>
      </c>
      <c r="F117" s="925">
        <f t="shared" si="2"/>
        <v>0</v>
      </c>
      <c r="G117" s="926">
        <f t="shared" si="8"/>
        <v>0</v>
      </c>
      <c r="H117" s="900">
        <f t="shared" si="9"/>
        <v>0</v>
      </c>
      <c r="I117" s="921">
        <f t="shared" si="3"/>
        <v>0</v>
      </c>
      <c r="J117" s="921"/>
      <c r="K117" s="927"/>
      <c r="L117" s="924">
        <f t="shared" si="4"/>
        <v>0</v>
      </c>
      <c r="M117" s="927"/>
      <c r="N117" s="924">
        <f t="shared" si="5"/>
        <v>0</v>
      </c>
      <c r="O117" s="924">
        <f t="shared" si="6"/>
        <v>0</v>
      </c>
      <c r="P117" s="860"/>
    </row>
    <row r="118" spans="1:16">
      <c r="A118" s="482"/>
      <c r="B118" s="857" t="str">
        <f t="shared" si="10"/>
        <v/>
      </c>
      <c r="C118" s="918" t="str">
        <f>IF(D98="","-",+C117+1)</f>
        <v>-</v>
      </c>
      <c r="D118" s="925">
        <f t="shared" si="7"/>
        <v>0</v>
      </c>
      <c r="E118" s="926">
        <f>IF(+I101&lt;F117,I101,D118)</f>
        <v>0</v>
      </c>
      <c r="F118" s="925">
        <f t="shared" si="2"/>
        <v>0</v>
      </c>
      <c r="G118" s="926">
        <f t="shared" si="8"/>
        <v>0</v>
      </c>
      <c r="H118" s="900">
        <f t="shared" si="9"/>
        <v>0</v>
      </c>
      <c r="I118" s="921">
        <f t="shared" si="3"/>
        <v>0</v>
      </c>
      <c r="J118" s="921"/>
      <c r="K118" s="927"/>
      <c r="L118" s="924">
        <f t="shared" si="4"/>
        <v>0</v>
      </c>
      <c r="M118" s="927"/>
      <c r="N118" s="924">
        <f t="shared" si="5"/>
        <v>0</v>
      </c>
      <c r="O118" s="924">
        <f t="shared" si="6"/>
        <v>0</v>
      </c>
      <c r="P118" s="860"/>
    </row>
    <row r="119" spans="1:16">
      <c r="A119" s="482"/>
      <c r="B119" s="857" t="str">
        <f t="shared" si="10"/>
        <v/>
      </c>
      <c r="C119" s="918" t="str">
        <f>IF(D98="","-",+C118+1)</f>
        <v>-</v>
      </c>
      <c r="D119" s="925">
        <f t="shared" si="7"/>
        <v>0</v>
      </c>
      <c r="E119" s="926">
        <f>IF(+I101&lt;F118,I101,D119)</f>
        <v>0</v>
      </c>
      <c r="F119" s="925">
        <f t="shared" si="2"/>
        <v>0</v>
      </c>
      <c r="G119" s="926">
        <f t="shared" si="8"/>
        <v>0</v>
      </c>
      <c r="H119" s="900">
        <f t="shared" si="9"/>
        <v>0</v>
      </c>
      <c r="I119" s="921">
        <f t="shared" si="3"/>
        <v>0</v>
      </c>
      <c r="J119" s="921"/>
      <c r="K119" s="927"/>
      <c r="L119" s="924">
        <f t="shared" si="4"/>
        <v>0</v>
      </c>
      <c r="M119" s="927"/>
      <c r="N119" s="924">
        <f t="shared" si="5"/>
        <v>0</v>
      </c>
      <c r="O119" s="924">
        <f t="shared" si="6"/>
        <v>0</v>
      </c>
      <c r="P119" s="860"/>
    </row>
    <row r="120" spans="1:16">
      <c r="A120" s="482"/>
      <c r="B120" s="857" t="str">
        <f t="shared" si="10"/>
        <v/>
      </c>
      <c r="C120" s="918" t="str">
        <f>IF(D98="","-",+C119+1)</f>
        <v>-</v>
      </c>
      <c r="D120" s="925">
        <f t="shared" si="7"/>
        <v>0</v>
      </c>
      <c r="E120" s="926">
        <f>IF(+I101&lt;F119,I101,D120)</f>
        <v>0</v>
      </c>
      <c r="F120" s="925">
        <f t="shared" si="2"/>
        <v>0</v>
      </c>
      <c r="G120" s="926">
        <f t="shared" si="8"/>
        <v>0</v>
      </c>
      <c r="H120" s="900">
        <f t="shared" si="9"/>
        <v>0</v>
      </c>
      <c r="I120" s="921">
        <f t="shared" si="3"/>
        <v>0</v>
      </c>
      <c r="J120" s="921"/>
      <c r="K120" s="927"/>
      <c r="L120" s="924">
        <f t="shared" si="4"/>
        <v>0</v>
      </c>
      <c r="M120" s="927"/>
      <c r="N120" s="924">
        <f t="shared" si="5"/>
        <v>0</v>
      </c>
      <c r="O120" s="924">
        <f t="shared" si="6"/>
        <v>0</v>
      </c>
      <c r="P120" s="860"/>
    </row>
    <row r="121" spans="1:16">
      <c r="A121" s="482"/>
      <c r="B121" s="857" t="str">
        <f t="shared" si="10"/>
        <v/>
      </c>
      <c r="C121" s="918" t="str">
        <f>IF(D98="","-",+C120+1)</f>
        <v>-</v>
      </c>
      <c r="D121" s="925">
        <f t="shared" si="7"/>
        <v>0</v>
      </c>
      <c r="E121" s="926">
        <f>IF(+I101&lt;F120,I101,D121)</f>
        <v>0</v>
      </c>
      <c r="F121" s="925">
        <f t="shared" si="2"/>
        <v>0</v>
      </c>
      <c r="G121" s="926">
        <f t="shared" si="8"/>
        <v>0</v>
      </c>
      <c r="H121" s="900">
        <f t="shared" si="9"/>
        <v>0</v>
      </c>
      <c r="I121" s="921">
        <f t="shared" si="3"/>
        <v>0</v>
      </c>
      <c r="J121" s="921"/>
      <c r="K121" s="927"/>
      <c r="L121" s="924">
        <f t="shared" si="4"/>
        <v>0</v>
      </c>
      <c r="M121" s="927"/>
      <c r="N121" s="924">
        <f t="shared" si="5"/>
        <v>0</v>
      </c>
      <c r="O121" s="924">
        <f t="shared" si="6"/>
        <v>0</v>
      </c>
      <c r="P121" s="860"/>
    </row>
    <row r="122" spans="1:16">
      <c r="A122" s="482"/>
      <c r="B122" s="857" t="str">
        <f t="shared" si="10"/>
        <v/>
      </c>
      <c r="C122" s="918" t="str">
        <f>IF(D98="","-",+C121+1)</f>
        <v>-</v>
      </c>
      <c r="D122" s="925">
        <f t="shared" si="7"/>
        <v>0</v>
      </c>
      <c r="E122" s="926">
        <f>IF(+I101&lt;F121,I101,D122)</f>
        <v>0</v>
      </c>
      <c r="F122" s="925">
        <f t="shared" si="2"/>
        <v>0</v>
      </c>
      <c r="G122" s="926">
        <f t="shared" si="8"/>
        <v>0</v>
      </c>
      <c r="H122" s="900">
        <f t="shared" si="9"/>
        <v>0</v>
      </c>
      <c r="I122" s="921">
        <f t="shared" si="3"/>
        <v>0</v>
      </c>
      <c r="J122" s="921"/>
      <c r="K122" s="927"/>
      <c r="L122" s="924">
        <f t="shared" si="4"/>
        <v>0</v>
      </c>
      <c r="M122" s="927"/>
      <c r="N122" s="924">
        <f t="shared" si="5"/>
        <v>0</v>
      </c>
      <c r="O122" s="924">
        <f t="shared" si="6"/>
        <v>0</v>
      </c>
      <c r="P122" s="860"/>
    </row>
    <row r="123" spans="1:16">
      <c r="A123" s="482"/>
      <c r="B123" s="857" t="str">
        <f t="shared" si="10"/>
        <v/>
      </c>
      <c r="C123" s="918" t="str">
        <f>IF(D98="","-",+C122+1)</f>
        <v>-</v>
      </c>
      <c r="D123" s="925">
        <f t="shared" si="7"/>
        <v>0</v>
      </c>
      <c r="E123" s="926">
        <f>IF(+I101&lt;F122,I101,D123)</f>
        <v>0</v>
      </c>
      <c r="F123" s="925">
        <f t="shared" si="2"/>
        <v>0</v>
      </c>
      <c r="G123" s="926">
        <f t="shared" si="8"/>
        <v>0</v>
      </c>
      <c r="H123" s="900">
        <f t="shared" si="9"/>
        <v>0</v>
      </c>
      <c r="I123" s="921">
        <f t="shared" si="3"/>
        <v>0</v>
      </c>
      <c r="J123" s="921"/>
      <c r="K123" s="927"/>
      <c r="L123" s="924">
        <f t="shared" si="4"/>
        <v>0</v>
      </c>
      <c r="M123" s="927"/>
      <c r="N123" s="924">
        <f t="shared" si="5"/>
        <v>0</v>
      </c>
      <c r="O123" s="924">
        <f t="shared" si="6"/>
        <v>0</v>
      </c>
      <c r="P123" s="860"/>
    </row>
    <row r="124" spans="1:16">
      <c r="A124" s="482"/>
      <c r="B124" s="857" t="str">
        <f t="shared" si="10"/>
        <v/>
      </c>
      <c r="C124" s="918" t="str">
        <f>IF(D98="","-",+C123+1)</f>
        <v>-</v>
      </c>
      <c r="D124" s="925">
        <f t="shared" si="7"/>
        <v>0</v>
      </c>
      <c r="E124" s="926">
        <f>IF(+I101&lt;F123,I101,D124)</f>
        <v>0</v>
      </c>
      <c r="F124" s="925">
        <f t="shared" si="2"/>
        <v>0</v>
      </c>
      <c r="G124" s="926">
        <f t="shared" si="8"/>
        <v>0</v>
      </c>
      <c r="H124" s="900">
        <f t="shared" si="9"/>
        <v>0</v>
      </c>
      <c r="I124" s="921">
        <f t="shared" si="3"/>
        <v>0</v>
      </c>
      <c r="J124" s="921"/>
      <c r="K124" s="927"/>
      <c r="L124" s="924">
        <f t="shared" si="4"/>
        <v>0</v>
      </c>
      <c r="M124" s="927"/>
      <c r="N124" s="924">
        <f t="shared" si="5"/>
        <v>0</v>
      </c>
      <c r="O124" s="924">
        <f t="shared" si="6"/>
        <v>0</v>
      </c>
      <c r="P124" s="860"/>
    </row>
    <row r="125" spans="1:16">
      <c r="A125" s="482"/>
      <c r="B125" s="857" t="str">
        <f t="shared" si="10"/>
        <v/>
      </c>
      <c r="C125" s="918" t="str">
        <f>IF(D98="","-",+C124+1)</f>
        <v>-</v>
      </c>
      <c r="D125" s="925">
        <f t="shared" si="7"/>
        <v>0</v>
      </c>
      <c r="E125" s="926">
        <f>IF(+I101&lt;F124,I101,D125)</f>
        <v>0</v>
      </c>
      <c r="F125" s="925">
        <f t="shared" si="2"/>
        <v>0</v>
      </c>
      <c r="G125" s="926">
        <f t="shared" si="8"/>
        <v>0</v>
      </c>
      <c r="H125" s="900">
        <f t="shared" si="9"/>
        <v>0</v>
      </c>
      <c r="I125" s="921">
        <f t="shared" si="3"/>
        <v>0</v>
      </c>
      <c r="J125" s="921"/>
      <c r="K125" s="927"/>
      <c r="L125" s="924">
        <f t="shared" si="4"/>
        <v>0</v>
      </c>
      <c r="M125" s="927"/>
      <c r="N125" s="924">
        <f t="shared" si="5"/>
        <v>0</v>
      </c>
      <c r="O125" s="924">
        <f t="shared" si="6"/>
        <v>0</v>
      </c>
      <c r="P125" s="860"/>
    </row>
    <row r="126" spans="1:16">
      <c r="A126" s="482"/>
      <c r="B126" s="857" t="str">
        <f t="shared" si="10"/>
        <v/>
      </c>
      <c r="C126" s="918" t="str">
        <f>IF(D98="","-",+C125+1)</f>
        <v>-</v>
      </c>
      <c r="D126" s="925">
        <f t="shared" si="7"/>
        <v>0</v>
      </c>
      <c r="E126" s="926">
        <f>IF(+I101&lt;F125,I101,D126)</f>
        <v>0</v>
      </c>
      <c r="F126" s="925">
        <f t="shared" si="2"/>
        <v>0</v>
      </c>
      <c r="G126" s="926">
        <f t="shared" si="8"/>
        <v>0</v>
      </c>
      <c r="H126" s="900">
        <f t="shared" si="9"/>
        <v>0</v>
      </c>
      <c r="I126" s="921">
        <f t="shared" si="3"/>
        <v>0</v>
      </c>
      <c r="J126" s="921"/>
      <c r="K126" s="927"/>
      <c r="L126" s="924">
        <f t="shared" si="4"/>
        <v>0</v>
      </c>
      <c r="M126" s="927"/>
      <c r="N126" s="924">
        <f t="shared" si="5"/>
        <v>0</v>
      </c>
      <c r="O126" s="924">
        <f t="shared" si="6"/>
        <v>0</v>
      </c>
      <c r="P126" s="860"/>
    </row>
    <row r="127" spans="1:16">
      <c r="A127" s="482"/>
      <c r="B127" s="857" t="str">
        <f t="shared" si="10"/>
        <v/>
      </c>
      <c r="C127" s="918" t="str">
        <f>IF(D98="","-",+C126+1)</f>
        <v>-</v>
      </c>
      <c r="D127" s="925">
        <f t="shared" si="7"/>
        <v>0</v>
      </c>
      <c r="E127" s="926">
        <f>IF(+I101&lt;F126,I101,D127)</f>
        <v>0</v>
      </c>
      <c r="F127" s="925">
        <f t="shared" si="2"/>
        <v>0</v>
      </c>
      <c r="G127" s="926">
        <f t="shared" si="8"/>
        <v>0</v>
      </c>
      <c r="H127" s="900">
        <f t="shared" si="9"/>
        <v>0</v>
      </c>
      <c r="I127" s="921">
        <f t="shared" si="3"/>
        <v>0</v>
      </c>
      <c r="J127" s="921"/>
      <c r="K127" s="927"/>
      <c r="L127" s="924">
        <f t="shared" si="4"/>
        <v>0</v>
      </c>
      <c r="M127" s="927"/>
      <c r="N127" s="924">
        <f t="shared" si="5"/>
        <v>0</v>
      </c>
      <c r="O127" s="924">
        <f t="shared" si="6"/>
        <v>0</v>
      </c>
      <c r="P127" s="860"/>
    </row>
    <row r="128" spans="1:16">
      <c r="A128" s="482"/>
      <c r="B128" s="857" t="str">
        <f t="shared" si="10"/>
        <v/>
      </c>
      <c r="C128" s="918" t="str">
        <f>IF(D98="","-",+C127+1)</f>
        <v>-</v>
      </c>
      <c r="D128" s="925">
        <f t="shared" si="7"/>
        <v>0</v>
      </c>
      <c r="E128" s="926">
        <f>IF(+I101&lt;F127,I101,D128)</f>
        <v>0</v>
      </c>
      <c r="F128" s="925">
        <f t="shared" si="2"/>
        <v>0</v>
      </c>
      <c r="G128" s="926">
        <f t="shared" si="8"/>
        <v>0</v>
      </c>
      <c r="H128" s="900">
        <f t="shared" si="9"/>
        <v>0</v>
      </c>
      <c r="I128" s="921">
        <f t="shared" si="3"/>
        <v>0</v>
      </c>
      <c r="J128" s="921"/>
      <c r="K128" s="927"/>
      <c r="L128" s="924">
        <f t="shared" si="4"/>
        <v>0</v>
      </c>
      <c r="M128" s="927"/>
      <c r="N128" s="924">
        <f t="shared" si="5"/>
        <v>0</v>
      </c>
      <c r="O128" s="924">
        <f t="shared" si="6"/>
        <v>0</v>
      </c>
      <c r="P128" s="860"/>
    </row>
    <row r="129" spans="1:16">
      <c r="A129" s="482"/>
      <c r="B129" s="857" t="str">
        <f t="shared" si="10"/>
        <v/>
      </c>
      <c r="C129" s="918" t="str">
        <f>IF(D98="","-",+C128+1)</f>
        <v>-</v>
      </c>
      <c r="D129" s="925">
        <f t="shared" si="7"/>
        <v>0</v>
      </c>
      <c r="E129" s="926">
        <f>IF(+I101&lt;F128,I101,D129)</f>
        <v>0</v>
      </c>
      <c r="F129" s="925">
        <f t="shared" si="2"/>
        <v>0</v>
      </c>
      <c r="G129" s="926">
        <f t="shared" si="8"/>
        <v>0</v>
      </c>
      <c r="H129" s="900">
        <f t="shared" si="9"/>
        <v>0</v>
      </c>
      <c r="I129" s="921">
        <f t="shared" si="3"/>
        <v>0</v>
      </c>
      <c r="J129" s="921"/>
      <c r="K129" s="927"/>
      <c r="L129" s="924">
        <f t="shared" si="4"/>
        <v>0</v>
      </c>
      <c r="M129" s="927"/>
      <c r="N129" s="924">
        <f t="shared" si="5"/>
        <v>0</v>
      </c>
      <c r="O129" s="924">
        <f t="shared" si="6"/>
        <v>0</v>
      </c>
      <c r="P129" s="860"/>
    </row>
    <row r="130" spans="1:16">
      <c r="A130" s="482"/>
      <c r="B130" s="857" t="str">
        <f t="shared" si="10"/>
        <v/>
      </c>
      <c r="C130" s="918" t="str">
        <f>IF(D98="","-",+C129+1)</f>
        <v>-</v>
      </c>
      <c r="D130" s="925">
        <f t="shared" si="7"/>
        <v>0</v>
      </c>
      <c r="E130" s="926">
        <f>IF(+I101&lt;F129,I101,D130)</f>
        <v>0</v>
      </c>
      <c r="F130" s="925">
        <f t="shared" si="2"/>
        <v>0</v>
      </c>
      <c r="G130" s="926">
        <f t="shared" si="8"/>
        <v>0</v>
      </c>
      <c r="H130" s="900">
        <f t="shared" si="9"/>
        <v>0</v>
      </c>
      <c r="I130" s="921">
        <f t="shared" si="3"/>
        <v>0</v>
      </c>
      <c r="J130" s="921"/>
      <c r="K130" s="927"/>
      <c r="L130" s="924">
        <f t="shared" si="4"/>
        <v>0</v>
      </c>
      <c r="M130" s="927"/>
      <c r="N130" s="924">
        <f t="shared" si="5"/>
        <v>0</v>
      </c>
      <c r="O130" s="924">
        <f t="shared" si="6"/>
        <v>0</v>
      </c>
      <c r="P130" s="860"/>
    </row>
    <row r="131" spans="1:16">
      <c r="A131" s="482"/>
      <c r="B131" s="857" t="str">
        <f t="shared" si="10"/>
        <v/>
      </c>
      <c r="C131" s="918" t="str">
        <f>IF(D98="","-",+C130+1)</f>
        <v>-</v>
      </c>
      <c r="D131" s="925">
        <f t="shared" si="7"/>
        <v>0</v>
      </c>
      <c r="E131" s="926">
        <f>IF(+I101&lt;F130,I101,D131)</f>
        <v>0</v>
      </c>
      <c r="F131" s="925">
        <f t="shared" si="2"/>
        <v>0</v>
      </c>
      <c r="G131" s="926">
        <f t="shared" si="8"/>
        <v>0</v>
      </c>
      <c r="H131" s="900">
        <f t="shared" si="9"/>
        <v>0</v>
      </c>
      <c r="I131" s="921">
        <f t="shared" si="3"/>
        <v>0</v>
      </c>
      <c r="J131" s="921"/>
      <c r="K131" s="927"/>
      <c r="L131" s="924">
        <f t="shared" si="4"/>
        <v>0</v>
      </c>
      <c r="M131" s="927"/>
      <c r="N131" s="924">
        <f t="shared" si="5"/>
        <v>0</v>
      </c>
      <c r="O131" s="924">
        <f t="shared" si="6"/>
        <v>0</v>
      </c>
      <c r="P131" s="860"/>
    </row>
    <row r="132" spans="1:16">
      <c r="A132" s="482"/>
      <c r="B132" s="857" t="str">
        <f t="shared" si="10"/>
        <v/>
      </c>
      <c r="C132" s="918" t="str">
        <f>IF(D98="","-",+C131+1)</f>
        <v>-</v>
      </c>
      <c r="D132" s="925">
        <f t="shared" si="7"/>
        <v>0</v>
      </c>
      <c r="E132" s="926">
        <f>IF(+I101&lt;F131,I101,D132)</f>
        <v>0</v>
      </c>
      <c r="F132" s="925">
        <f t="shared" si="2"/>
        <v>0</v>
      </c>
      <c r="G132" s="926">
        <f t="shared" si="8"/>
        <v>0</v>
      </c>
      <c r="H132" s="900">
        <f t="shared" si="9"/>
        <v>0</v>
      </c>
      <c r="I132" s="921">
        <f t="shared" si="3"/>
        <v>0</v>
      </c>
      <c r="J132" s="921"/>
      <c r="K132" s="927"/>
      <c r="L132" s="924">
        <f t="shared" si="4"/>
        <v>0</v>
      </c>
      <c r="M132" s="927"/>
      <c r="N132" s="924">
        <f t="shared" si="5"/>
        <v>0</v>
      </c>
      <c r="O132" s="924">
        <f t="shared" si="6"/>
        <v>0</v>
      </c>
      <c r="P132" s="860"/>
    </row>
    <row r="133" spans="1:16">
      <c r="A133" s="482"/>
      <c r="B133" s="857" t="str">
        <f t="shared" si="10"/>
        <v/>
      </c>
      <c r="C133" s="918" t="str">
        <f>IF(D98="","-",+C132+1)</f>
        <v>-</v>
      </c>
      <c r="D133" s="925">
        <f t="shared" si="7"/>
        <v>0</v>
      </c>
      <c r="E133" s="926">
        <f>IF(+I101&lt;F132,I101,D133)</f>
        <v>0</v>
      </c>
      <c r="F133" s="925">
        <f t="shared" si="2"/>
        <v>0</v>
      </c>
      <c r="G133" s="926">
        <f t="shared" si="8"/>
        <v>0</v>
      </c>
      <c r="H133" s="900">
        <f t="shared" si="9"/>
        <v>0</v>
      </c>
      <c r="I133" s="921">
        <f t="shared" si="3"/>
        <v>0</v>
      </c>
      <c r="J133" s="921"/>
      <c r="K133" s="927"/>
      <c r="L133" s="924">
        <f t="shared" si="4"/>
        <v>0</v>
      </c>
      <c r="M133" s="927"/>
      <c r="N133" s="924">
        <f t="shared" si="5"/>
        <v>0</v>
      </c>
      <c r="O133" s="924">
        <f t="shared" si="6"/>
        <v>0</v>
      </c>
      <c r="P133" s="860"/>
    </row>
    <row r="134" spans="1:16">
      <c r="A134" s="482"/>
      <c r="B134" s="857" t="str">
        <f t="shared" si="10"/>
        <v/>
      </c>
      <c r="C134" s="918" t="str">
        <f>IF(D98="","-",+C133+1)</f>
        <v>-</v>
      </c>
      <c r="D134" s="925">
        <f t="shared" si="7"/>
        <v>0</v>
      </c>
      <c r="E134" s="926">
        <f>IF(+I101&lt;F133,I101,D134)</f>
        <v>0</v>
      </c>
      <c r="F134" s="925">
        <f t="shared" si="2"/>
        <v>0</v>
      </c>
      <c r="G134" s="926">
        <f t="shared" si="8"/>
        <v>0</v>
      </c>
      <c r="H134" s="900">
        <f t="shared" si="9"/>
        <v>0</v>
      </c>
      <c r="I134" s="921">
        <f t="shared" si="3"/>
        <v>0</v>
      </c>
      <c r="J134" s="921"/>
      <c r="K134" s="927"/>
      <c r="L134" s="924">
        <f t="shared" si="4"/>
        <v>0</v>
      </c>
      <c r="M134" s="927"/>
      <c r="N134" s="924">
        <f t="shared" si="5"/>
        <v>0</v>
      </c>
      <c r="O134" s="924">
        <f t="shared" si="6"/>
        <v>0</v>
      </c>
      <c r="P134" s="860"/>
    </row>
    <row r="135" spans="1:16">
      <c r="A135" s="482"/>
      <c r="B135" s="857" t="str">
        <f t="shared" si="10"/>
        <v/>
      </c>
      <c r="C135" s="918" t="str">
        <f>IF(D98="","-",+C134+1)</f>
        <v>-</v>
      </c>
      <c r="D135" s="925">
        <f t="shared" si="7"/>
        <v>0</v>
      </c>
      <c r="E135" s="926">
        <f>IF(+I101&lt;F134,I101,D135)</f>
        <v>0</v>
      </c>
      <c r="F135" s="925">
        <f t="shared" si="2"/>
        <v>0</v>
      </c>
      <c r="G135" s="926">
        <f t="shared" si="8"/>
        <v>0</v>
      </c>
      <c r="H135" s="900">
        <f t="shared" si="9"/>
        <v>0</v>
      </c>
      <c r="I135" s="921">
        <f t="shared" si="3"/>
        <v>0</v>
      </c>
      <c r="J135" s="921"/>
      <c r="K135" s="927"/>
      <c r="L135" s="924">
        <f t="shared" si="4"/>
        <v>0</v>
      </c>
      <c r="M135" s="927"/>
      <c r="N135" s="924">
        <f t="shared" si="5"/>
        <v>0</v>
      </c>
      <c r="O135" s="924">
        <f t="shared" si="6"/>
        <v>0</v>
      </c>
      <c r="P135" s="860"/>
    </row>
    <row r="136" spans="1:16">
      <c r="A136" s="482"/>
      <c r="B136" s="857" t="str">
        <f t="shared" si="10"/>
        <v/>
      </c>
      <c r="C136" s="918" t="str">
        <f>IF(D98="","-",+C135+1)</f>
        <v>-</v>
      </c>
      <c r="D136" s="925">
        <f t="shared" si="7"/>
        <v>0</v>
      </c>
      <c r="E136" s="926">
        <f>IF(+I101&lt;F135,I101,D136)</f>
        <v>0</v>
      </c>
      <c r="F136" s="925">
        <f t="shared" si="2"/>
        <v>0</v>
      </c>
      <c r="G136" s="926">
        <f t="shared" si="8"/>
        <v>0</v>
      </c>
      <c r="H136" s="900">
        <f t="shared" si="9"/>
        <v>0</v>
      </c>
      <c r="I136" s="921">
        <f t="shared" si="3"/>
        <v>0</v>
      </c>
      <c r="J136" s="921"/>
      <c r="K136" s="927"/>
      <c r="L136" s="924">
        <f t="shared" si="4"/>
        <v>0</v>
      </c>
      <c r="M136" s="927"/>
      <c r="N136" s="924">
        <f t="shared" si="5"/>
        <v>0</v>
      </c>
      <c r="O136" s="924">
        <f t="shared" si="6"/>
        <v>0</v>
      </c>
      <c r="P136" s="860"/>
    </row>
    <row r="137" spans="1:16">
      <c r="A137" s="482"/>
      <c r="B137" s="857" t="str">
        <f t="shared" si="10"/>
        <v/>
      </c>
      <c r="C137" s="918" t="str">
        <f>IF(D98="","-",+C136+1)</f>
        <v>-</v>
      </c>
      <c r="D137" s="925">
        <f t="shared" si="7"/>
        <v>0</v>
      </c>
      <c r="E137" s="926">
        <f>IF(+I101&lt;F136,I101,D137)</f>
        <v>0</v>
      </c>
      <c r="F137" s="925">
        <f t="shared" si="2"/>
        <v>0</v>
      </c>
      <c r="G137" s="926">
        <f t="shared" si="8"/>
        <v>0</v>
      </c>
      <c r="H137" s="900">
        <f t="shared" si="9"/>
        <v>0</v>
      </c>
      <c r="I137" s="921">
        <f t="shared" si="3"/>
        <v>0</v>
      </c>
      <c r="J137" s="921"/>
      <c r="K137" s="927"/>
      <c r="L137" s="924">
        <f t="shared" si="4"/>
        <v>0</v>
      </c>
      <c r="M137" s="927"/>
      <c r="N137" s="924">
        <f t="shared" si="5"/>
        <v>0</v>
      </c>
      <c r="O137" s="924">
        <f t="shared" si="6"/>
        <v>0</v>
      </c>
      <c r="P137" s="860"/>
    </row>
    <row r="138" spans="1:16">
      <c r="A138" s="482"/>
      <c r="B138" s="857" t="str">
        <f t="shared" si="10"/>
        <v/>
      </c>
      <c r="C138" s="918" t="str">
        <f>IF(D98="","-",+C137+1)</f>
        <v>-</v>
      </c>
      <c r="D138" s="925">
        <f t="shared" si="7"/>
        <v>0</v>
      </c>
      <c r="E138" s="926">
        <f>IF(+I101&lt;F137,I101,D138)</f>
        <v>0</v>
      </c>
      <c r="F138" s="925">
        <f t="shared" si="2"/>
        <v>0</v>
      </c>
      <c r="G138" s="926">
        <f t="shared" si="8"/>
        <v>0</v>
      </c>
      <c r="H138" s="900">
        <f t="shared" si="9"/>
        <v>0</v>
      </c>
      <c r="I138" s="921">
        <f t="shared" si="3"/>
        <v>0</v>
      </c>
      <c r="J138" s="921"/>
      <c r="K138" s="927"/>
      <c r="L138" s="924">
        <f t="shared" si="4"/>
        <v>0</v>
      </c>
      <c r="M138" s="927"/>
      <c r="N138" s="924">
        <f t="shared" si="5"/>
        <v>0</v>
      </c>
      <c r="O138" s="924">
        <f t="shared" si="6"/>
        <v>0</v>
      </c>
      <c r="P138" s="860"/>
    </row>
    <row r="139" spans="1:16">
      <c r="A139" s="482"/>
      <c r="B139" s="857" t="str">
        <f t="shared" si="10"/>
        <v/>
      </c>
      <c r="C139" s="918" t="str">
        <f>IF(D98="","-",+C138+1)</f>
        <v>-</v>
      </c>
      <c r="D139" s="925">
        <f t="shared" si="7"/>
        <v>0</v>
      </c>
      <c r="E139" s="926">
        <f>IF(+I101&lt;F138,I101,D139)</f>
        <v>0</v>
      </c>
      <c r="F139" s="925">
        <f t="shared" si="2"/>
        <v>0</v>
      </c>
      <c r="G139" s="926">
        <f t="shared" si="8"/>
        <v>0</v>
      </c>
      <c r="H139" s="900">
        <f t="shared" si="9"/>
        <v>0</v>
      </c>
      <c r="I139" s="921">
        <f t="shared" si="3"/>
        <v>0</v>
      </c>
      <c r="J139" s="921"/>
      <c r="K139" s="927"/>
      <c r="L139" s="924">
        <f t="shared" si="4"/>
        <v>0</v>
      </c>
      <c r="M139" s="927"/>
      <c r="N139" s="924">
        <f t="shared" si="5"/>
        <v>0</v>
      </c>
      <c r="O139" s="924">
        <f t="shared" si="6"/>
        <v>0</v>
      </c>
      <c r="P139" s="860"/>
    </row>
    <row r="140" spans="1:16">
      <c r="A140" s="482"/>
      <c r="B140" s="857" t="str">
        <f t="shared" si="10"/>
        <v/>
      </c>
      <c r="C140" s="918" t="str">
        <f>IF(D98="","-",+C139+1)</f>
        <v>-</v>
      </c>
      <c r="D140" s="925">
        <f t="shared" si="7"/>
        <v>0</v>
      </c>
      <c r="E140" s="926">
        <f>IF(+I101&lt;F139,I101,D140)</f>
        <v>0</v>
      </c>
      <c r="F140" s="925">
        <f t="shared" si="2"/>
        <v>0</v>
      </c>
      <c r="G140" s="926">
        <f t="shared" si="8"/>
        <v>0</v>
      </c>
      <c r="H140" s="900">
        <f t="shared" si="9"/>
        <v>0</v>
      </c>
      <c r="I140" s="921">
        <f t="shared" si="3"/>
        <v>0</v>
      </c>
      <c r="J140" s="921"/>
      <c r="K140" s="927"/>
      <c r="L140" s="924">
        <f t="shared" si="4"/>
        <v>0</v>
      </c>
      <c r="M140" s="927"/>
      <c r="N140" s="924">
        <f t="shared" si="5"/>
        <v>0</v>
      </c>
      <c r="O140" s="924">
        <f t="shared" si="6"/>
        <v>0</v>
      </c>
      <c r="P140" s="860"/>
    </row>
    <row r="141" spans="1:16">
      <c r="A141" s="482"/>
      <c r="B141" s="857" t="str">
        <f t="shared" si="10"/>
        <v/>
      </c>
      <c r="C141" s="918" t="str">
        <f>IF(D98="","-",+C140+1)</f>
        <v>-</v>
      </c>
      <c r="D141" s="925">
        <f t="shared" si="7"/>
        <v>0</v>
      </c>
      <c r="E141" s="926">
        <f>IF(+I101&lt;F140,I101,D141)</f>
        <v>0</v>
      </c>
      <c r="F141" s="925">
        <f t="shared" si="2"/>
        <v>0</v>
      </c>
      <c r="G141" s="926">
        <f t="shared" si="8"/>
        <v>0</v>
      </c>
      <c r="H141" s="900">
        <f t="shared" si="9"/>
        <v>0</v>
      </c>
      <c r="I141" s="921">
        <f t="shared" si="3"/>
        <v>0</v>
      </c>
      <c r="J141" s="921"/>
      <c r="K141" s="927"/>
      <c r="L141" s="924">
        <f t="shared" si="4"/>
        <v>0</v>
      </c>
      <c r="M141" s="927"/>
      <c r="N141" s="924">
        <f t="shared" si="5"/>
        <v>0</v>
      </c>
      <c r="O141" s="924">
        <f t="shared" si="6"/>
        <v>0</v>
      </c>
      <c r="P141" s="860"/>
    </row>
    <row r="142" spans="1:16">
      <c r="A142" s="482"/>
      <c r="B142" s="857" t="str">
        <f t="shared" si="10"/>
        <v/>
      </c>
      <c r="C142" s="918" t="str">
        <f>IF(D98="","-",+C141+1)</f>
        <v>-</v>
      </c>
      <c r="D142" s="925">
        <f t="shared" si="7"/>
        <v>0</v>
      </c>
      <c r="E142" s="926">
        <f>IF(+I101&lt;F141,I101,D142)</f>
        <v>0</v>
      </c>
      <c r="F142" s="925">
        <f t="shared" si="2"/>
        <v>0</v>
      </c>
      <c r="G142" s="926">
        <f t="shared" si="8"/>
        <v>0</v>
      </c>
      <c r="H142" s="900">
        <f t="shared" si="9"/>
        <v>0</v>
      </c>
      <c r="I142" s="921">
        <f t="shared" si="3"/>
        <v>0</v>
      </c>
      <c r="J142" s="921"/>
      <c r="K142" s="927"/>
      <c r="L142" s="924">
        <f t="shared" si="4"/>
        <v>0</v>
      </c>
      <c r="M142" s="927"/>
      <c r="N142" s="924">
        <f t="shared" si="5"/>
        <v>0</v>
      </c>
      <c r="O142" s="924">
        <f t="shared" si="6"/>
        <v>0</v>
      </c>
      <c r="P142" s="860"/>
    </row>
    <row r="143" spans="1:16">
      <c r="A143" s="482"/>
      <c r="B143" s="857" t="str">
        <f t="shared" si="10"/>
        <v/>
      </c>
      <c r="C143" s="918" t="str">
        <f>IF(D98="","-",+C142+1)</f>
        <v>-</v>
      </c>
      <c r="D143" s="925">
        <f t="shared" si="7"/>
        <v>0</v>
      </c>
      <c r="E143" s="926">
        <f>IF(+I101&lt;F142,I101,D143)</f>
        <v>0</v>
      </c>
      <c r="F143" s="925">
        <f t="shared" si="2"/>
        <v>0</v>
      </c>
      <c r="G143" s="926">
        <f t="shared" si="8"/>
        <v>0</v>
      </c>
      <c r="H143" s="900">
        <f t="shared" si="9"/>
        <v>0</v>
      </c>
      <c r="I143" s="921">
        <f t="shared" si="3"/>
        <v>0</v>
      </c>
      <c r="J143" s="921"/>
      <c r="K143" s="927"/>
      <c r="L143" s="924">
        <f t="shared" si="4"/>
        <v>0</v>
      </c>
      <c r="M143" s="927"/>
      <c r="N143" s="924">
        <f t="shared" si="5"/>
        <v>0</v>
      </c>
      <c r="O143" s="924">
        <f t="shared" si="6"/>
        <v>0</v>
      </c>
      <c r="P143" s="860"/>
    </row>
    <row r="144" spans="1:16">
      <c r="A144" s="482"/>
      <c r="B144" s="857" t="str">
        <f t="shared" si="10"/>
        <v/>
      </c>
      <c r="C144" s="918" t="str">
        <f>IF(D98="","-",+C143+1)</f>
        <v>-</v>
      </c>
      <c r="D144" s="925">
        <f t="shared" si="7"/>
        <v>0</v>
      </c>
      <c r="E144" s="926">
        <f>IF(+I101&lt;F143,I101,D144)</f>
        <v>0</v>
      </c>
      <c r="F144" s="925">
        <f t="shared" si="2"/>
        <v>0</v>
      </c>
      <c r="G144" s="926">
        <f t="shared" si="8"/>
        <v>0</v>
      </c>
      <c r="H144" s="900">
        <f t="shared" si="9"/>
        <v>0</v>
      </c>
      <c r="I144" s="921">
        <f t="shared" si="3"/>
        <v>0</v>
      </c>
      <c r="J144" s="921"/>
      <c r="K144" s="927"/>
      <c r="L144" s="924">
        <f t="shared" si="4"/>
        <v>0</v>
      </c>
      <c r="M144" s="927"/>
      <c r="N144" s="924">
        <f t="shared" si="5"/>
        <v>0</v>
      </c>
      <c r="O144" s="924">
        <f t="shared" si="6"/>
        <v>0</v>
      </c>
      <c r="P144" s="860"/>
    </row>
    <row r="145" spans="1:16">
      <c r="A145" s="482"/>
      <c r="B145" s="857" t="str">
        <f t="shared" si="10"/>
        <v/>
      </c>
      <c r="C145" s="918" t="str">
        <f>IF(D98="","-",+C144+1)</f>
        <v>-</v>
      </c>
      <c r="D145" s="925">
        <f t="shared" si="7"/>
        <v>0</v>
      </c>
      <c r="E145" s="926">
        <f>IF(+I101&lt;F144,I101,D145)</f>
        <v>0</v>
      </c>
      <c r="F145" s="925">
        <f t="shared" si="2"/>
        <v>0</v>
      </c>
      <c r="G145" s="926">
        <f t="shared" si="8"/>
        <v>0</v>
      </c>
      <c r="H145" s="900">
        <f t="shared" si="9"/>
        <v>0</v>
      </c>
      <c r="I145" s="921">
        <f t="shared" si="3"/>
        <v>0</v>
      </c>
      <c r="J145" s="921"/>
      <c r="K145" s="927"/>
      <c r="L145" s="924">
        <f t="shared" si="4"/>
        <v>0</v>
      </c>
      <c r="M145" s="927"/>
      <c r="N145" s="924">
        <f t="shared" si="5"/>
        <v>0</v>
      </c>
      <c r="O145" s="924">
        <f t="shared" si="6"/>
        <v>0</v>
      </c>
      <c r="P145" s="860"/>
    </row>
    <row r="146" spans="1:16">
      <c r="A146" s="482"/>
      <c r="B146" s="857" t="str">
        <f t="shared" si="10"/>
        <v/>
      </c>
      <c r="C146" s="918" t="str">
        <f>IF(D98="","-",+C145+1)</f>
        <v>-</v>
      </c>
      <c r="D146" s="925">
        <f t="shared" si="7"/>
        <v>0</v>
      </c>
      <c r="E146" s="926">
        <f>IF(+I101&lt;F145,I101,D146)</f>
        <v>0</v>
      </c>
      <c r="F146" s="925">
        <f t="shared" si="2"/>
        <v>0</v>
      </c>
      <c r="G146" s="926">
        <f t="shared" si="8"/>
        <v>0</v>
      </c>
      <c r="H146" s="900">
        <f t="shared" si="9"/>
        <v>0</v>
      </c>
      <c r="I146" s="921">
        <f t="shared" si="3"/>
        <v>0</v>
      </c>
      <c r="J146" s="921"/>
      <c r="K146" s="927"/>
      <c r="L146" s="924">
        <f t="shared" si="4"/>
        <v>0</v>
      </c>
      <c r="M146" s="927"/>
      <c r="N146" s="924">
        <f t="shared" si="5"/>
        <v>0</v>
      </c>
      <c r="O146" s="924">
        <f t="shared" si="6"/>
        <v>0</v>
      </c>
      <c r="P146" s="860"/>
    </row>
    <row r="147" spans="1:16">
      <c r="A147" s="482"/>
      <c r="B147" s="857" t="str">
        <f t="shared" si="10"/>
        <v/>
      </c>
      <c r="C147" s="918" t="str">
        <f>IF(D98="","-",+C146+1)</f>
        <v>-</v>
      </c>
      <c r="D147" s="925">
        <f t="shared" si="7"/>
        <v>0</v>
      </c>
      <c r="E147" s="926">
        <f>IF(+I101&lt;F146,I101,D147)</f>
        <v>0</v>
      </c>
      <c r="F147" s="925">
        <f t="shared" si="2"/>
        <v>0</v>
      </c>
      <c r="G147" s="926">
        <f t="shared" si="8"/>
        <v>0</v>
      </c>
      <c r="H147" s="900">
        <f t="shared" si="9"/>
        <v>0</v>
      </c>
      <c r="I147" s="921">
        <f t="shared" si="3"/>
        <v>0</v>
      </c>
      <c r="J147" s="921"/>
      <c r="K147" s="927"/>
      <c r="L147" s="924">
        <f t="shared" si="4"/>
        <v>0</v>
      </c>
      <c r="M147" s="927"/>
      <c r="N147" s="924">
        <f t="shared" si="5"/>
        <v>0</v>
      </c>
      <c r="O147" s="924">
        <f t="shared" si="6"/>
        <v>0</v>
      </c>
      <c r="P147" s="860"/>
    </row>
    <row r="148" spans="1:16">
      <c r="A148" s="482"/>
      <c r="B148" s="857" t="str">
        <f t="shared" si="10"/>
        <v/>
      </c>
      <c r="C148" s="918" t="str">
        <f>IF(D98="","-",+C147+1)</f>
        <v>-</v>
      </c>
      <c r="D148" s="925">
        <f t="shared" si="7"/>
        <v>0</v>
      </c>
      <c r="E148" s="926">
        <f>IF(+I101&lt;F147,I101,D148)</f>
        <v>0</v>
      </c>
      <c r="F148" s="925">
        <f t="shared" si="2"/>
        <v>0</v>
      </c>
      <c r="G148" s="929">
        <f t="shared" si="8"/>
        <v>0</v>
      </c>
      <c r="H148" s="900">
        <f t="shared" si="9"/>
        <v>0</v>
      </c>
      <c r="I148" s="921">
        <f t="shared" si="3"/>
        <v>0</v>
      </c>
      <c r="J148" s="921"/>
      <c r="K148" s="927"/>
      <c r="L148" s="924">
        <f t="shared" si="4"/>
        <v>0</v>
      </c>
      <c r="M148" s="927"/>
      <c r="N148" s="924">
        <f t="shared" si="5"/>
        <v>0</v>
      </c>
      <c r="O148" s="924">
        <f t="shared" si="6"/>
        <v>0</v>
      </c>
      <c r="P148" s="860"/>
    </row>
    <row r="149" spans="1:16">
      <c r="A149" s="482"/>
      <c r="B149" s="857" t="str">
        <f t="shared" si="10"/>
        <v/>
      </c>
      <c r="C149" s="918" t="str">
        <f>IF(D98="","-",+C148+1)</f>
        <v>-</v>
      </c>
      <c r="D149" s="925">
        <f t="shared" si="7"/>
        <v>0</v>
      </c>
      <c r="E149" s="926">
        <f>IF(+I101&lt;F148,I101,D149)</f>
        <v>0</v>
      </c>
      <c r="F149" s="925">
        <f t="shared" si="2"/>
        <v>0</v>
      </c>
      <c r="G149" s="929">
        <f t="shared" si="8"/>
        <v>0</v>
      </c>
      <c r="H149" s="900">
        <f t="shared" si="9"/>
        <v>0</v>
      </c>
      <c r="I149" s="921">
        <f t="shared" si="3"/>
        <v>0</v>
      </c>
      <c r="J149" s="921"/>
      <c r="K149" s="927"/>
      <c r="L149" s="924">
        <f t="shared" si="4"/>
        <v>0</v>
      </c>
      <c r="M149" s="927"/>
      <c r="N149" s="924">
        <f t="shared" si="5"/>
        <v>0</v>
      </c>
      <c r="O149" s="924">
        <f t="shared" si="6"/>
        <v>0</v>
      </c>
      <c r="P149" s="860"/>
    </row>
    <row r="150" spans="1:16">
      <c r="A150" s="482"/>
      <c r="B150" s="857" t="str">
        <f t="shared" si="10"/>
        <v/>
      </c>
      <c r="C150" s="918" t="str">
        <f>IF(D98="","-",+C149+1)</f>
        <v>-</v>
      </c>
      <c r="D150" s="925">
        <f t="shared" si="7"/>
        <v>0</v>
      </c>
      <c r="E150" s="926">
        <f>IF(+I101&lt;F149,I101,D150)</f>
        <v>0</v>
      </c>
      <c r="F150" s="925">
        <f t="shared" si="2"/>
        <v>0</v>
      </c>
      <c r="G150" s="929">
        <f t="shared" si="8"/>
        <v>0</v>
      </c>
      <c r="H150" s="900">
        <f t="shared" si="9"/>
        <v>0</v>
      </c>
      <c r="I150" s="921">
        <f t="shared" si="3"/>
        <v>0</v>
      </c>
      <c r="J150" s="921"/>
      <c r="K150" s="927"/>
      <c r="L150" s="924">
        <f t="shared" si="4"/>
        <v>0</v>
      </c>
      <c r="M150" s="927"/>
      <c r="N150" s="924">
        <f t="shared" si="5"/>
        <v>0</v>
      </c>
      <c r="O150" s="924">
        <f t="shared" si="6"/>
        <v>0</v>
      </c>
      <c r="P150" s="860"/>
    </row>
    <row r="151" spans="1:16">
      <c r="A151" s="482"/>
      <c r="B151" s="857" t="str">
        <f t="shared" si="10"/>
        <v/>
      </c>
      <c r="C151" s="918" t="str">
        <f>IF(D98="","-",+C150+1)</f>
        <v>-</v>
      </c>
      <c r="D151" s="925">
        <f t="shared" si="7"/>
        <v>0</v>
      </c>
      <c r="E151" s="926">
        <f>IF(+I101&lt;F150,I101,D151)</f>
        <v>0</v>
      </c>
      <c r="F151" s="925">
        <f t="shared" si="2"/>
        <v>0</v>
      </c>
      <c r="G151" s="929">
        <f t="shared" si="8"/>
        <v>0</v>
      </c>
      <c r="H151" s="900">
        <f t="shared" si="9"/>
        <v>0</v>
      </c>
      <c r="I151" s="921">
        <f t="shared" si="3"/>
        <v>0</v>
      </c>
      <c r="J151" s="921"/>
      <c r="K151" s="927"/>
      <c r="L151" s="924">
        <f t="shared" si="4"/>
        <v>0</v>
      </c>
      <c r="M151" s="927"/>
      <c r="N151" s="924">
        <f t="shared" si="5"/>
        <v>0</v>
      </c>
      <c r="O151" s="924">
        <f t="shared" si="6"/>
        <v>0</v>
      </c>
      <c r="P151" s="860"/>
    </row>
    <row r="152" spans="1:16">
      <c r="A152" s="482"/>
      <c r="B152" s="857" t="str">
        <f t="shared" si="10"/>
        <v/>
      </c>
      <c r="C152" s="918" t="str">
        <f>IF(D98="","-",+C151+1)</f>
        <v>-</v>
      </c>
      <c r="D152" s="925">
        <f t="shared" si="7"/>
        <v>0</v>
      </c>
      <c r="E152" s="926">
        <f>IF(+I101&lt;F151,I101,D152)</f>
        <v>0</v>
      </c>
      <c r="F152" s="925">
        <f t="shared" si="2"/>
        <v>0</v>
      </c>
      <c r="G152" s="929">
        <f t="shared" si="8"/>
        <v>0</v>
      </c>
      <c r="H152" s="900">
        <f t="shared" si="9"/>
        <v>0</v>
      </c>
      <c r="I152" s="921">
        <f t="shared" si="3"/>
        <v>0</v>
      </c>
      <c r="J152" s="921"/>
      <c r="K152" s="927"/>
      <c r="L152" s="924">
        <f t="shared" si="4"/>
        <v>0</v>
      </c>
      <c r="M152" s="927"/>
      <c r="N152" s="924">
        <f t="shared" si="5"/>
        <v>0</v>
      </c>
      <c r="O152" s="924">
        <f t="shared" si="6"/>
        <v>0</v>
      </c>
      <c r="P152" s="860"/>
    </row>
    <row r="153" spans="1:16">
      <c r="A153" s="482"/>
      <c r="B153" s="857" t="str">
        <f t="shared" si="10"/>
        <v/>
      </c>
      <c r="C153" s="918" t="str">
        <f>IF(D98="","-",+C152+1)</f>
        <v>-</v>
      </c>
      <c r="D153" s="925">
        <f t="shared" si="7"/>
        <v>0</v>
      </c>
      <c r="E153" s="926">
        <f>IF(+I101&lt;F152,I101,D153)</f>
        <v>0</v>
      </c>
      <c r="F153" s="925">
        <f t="shared" si="2"/>
        <v>0</v>
      </c>
      <c r="G153" s="929">
        <f t="shared" si="8"/>
        <v>0</v>
      </c>
      <c r="H153" s="900">
        <f t="shared" si="9"/>
        <v>0</v>
      </c>
      <c r="I153" s="921">
        <f t="shared" si="3"/>
        <v>0</v>
      </c>
      <c r="J153" s="921"/>
      <c r="K153" s="927"/>
      <c r="L153" s="924">
        <f t="shared" si="4"/>
        <v>0</v>
      </c>
      <c r="M153" s="927"/>
      <c r="N153" s="924">
        <f t="shared" si="5"/>
        <v>0</v>
      </c>
      <c r="O153" s="924">
        <f t="shared" si="6"/>
        <v>0</v>
      </c>
      <c r="P153" s="860"/>
    </row>
    <row r="154" spans="1:16">
      <c r="A154" s="482"/>
      <c r="B154" s="857" t="str">
        <f t="shared" si="10"/>
        <v/>
      </c>
      <c r="C154" s="918" t="str">
        <f>IF(D98="","-",+C153+1)</f>
        <v>-</v>
      </c>
      <c r="D154" s="925">
        <f t="shared" si="7"/>
        <v>0</v>
      </c>
      <c r="E154" s="926">
        <f>IF(+I101&lt;F153,I101,D154)</f>
        <v>0</v>
      </c>
      <c r="F154" s="925">
        <f t="shared" si="2"/>
        <v>0</v>
      </c>
      <c r="G154" s="929">
        <f t="shared" si="8"/>
        <v>0</v>
      </c>
      <c r="H154" s="900">
        <f t="shared" si="9"/>
        <v>0</v>
      </c>
      <c r="I154" s="921">
        <f t="shared" si="3"/>
        <v>0</v>
      </c>
      <c r="J154" s="921"/>
      <c r="K154" s="927"/>
      <c r="L154" s="924">
        <f t="shared" si="4"/>
        <v>0</v>
      </c>
      <c r="M154" s="927"/>
      <c r="N154" s="924">
        <f t="shared" si="5"/>
        <v>0</v>
      </c>
      <c r="O154" s="924">
        <f t="shared" si="6"/>
        <v>0</v>
      </c>
      <c r="P154" s="860"/>
    </row>
    <row r="155" spans="1:16">
      <c r="A155" s="482"/>
      <c r="B155" s="857" t="str">
        <f t="shared" si="10"/>
        <v/>
      </c>
      <c r="C155" s="918" t="str">
        <f>IF(D98="","-",+C154+1)</f>
        <v>-</v>
      </c>
      <c r="D155" s="925">
        <f t="shared" si="7"/>
        <v>0</v>
      </c>
      <c r="E155" s="926">
        <f>IF(+I101&lt;F154,I101,D155)</f>
        <v>0</v>
      </c>
      <c r="F155" s="925">
        <f t="shared" si="2"/>
        <v>0</v>
      </c>
      <c r="G155" s="929">
        <f t="shared" si="8"/>
        <v>0</v>
      </c>
      <c r="H155" s="900">
        <f t="shared" si="9"/>
        <v>0</v>
      </c>
      <c r="I155" s="921">
        <f t="shared" si="3"/>
        <v>0</v>
      </c>
      <c r="J155" s="921"/>
      <c r="K155" s="927"/>
      <c r="L155" s="924">
        <f t="shared" si="4"/>
        <v>0</v>
      </c>
      <c r="M155" s="927"/>
      <c r="N155" s="924">
        <f t="shared" si="5"/>
        <v>0</v>
      </c>
      <c r="O155" s="924">
        <f t="shared" si="6"/>
        <v>0</v>
      </c>
      <c r="P155" s="860"/>
    </row>
    <row r="156" spans="1:16">
      <c r="A156" s="482"/>
      <c r="B156" s="857" t="str">
        <f t="shared" si="10"/>
        <v/>
      </c>
      <c r="C156" s="918" t="str">
        <f>IF(D98="","-",+C155+1)</f>
        <v>-</v>
      </c>
      <c r="D156" s="925">
        <f t="shared" si="7"/>
        <v>0</v>
      </c>
      <c r="E156" s="926">
        <f>IF(+I101&lt;F155,I101,D156)</f>
        <v>0</v>
      </c>
      <c r="F156" s="925">
        <f t="shared" si="2"/>
        <v>0</v>
      </c>
      <c r="G156" s="929">
        <f t="shared" si="8"/>
        <v>0</v>
      </c>
      <c r="H156" s="900">
        <f t="shared" si="9"/>
        <v>0</v>
      </c>
      <c r="I156" s="921">
        <f t="shared" si="3"/>
        <v>0</v>
      </c>
      <c r="J156" s="921"/>
      <c r="K156" s="927"/>
      <c r="L156" s="924">
        <f t="shared" si="4"/>
        <v>0</v>
      </c>
      <c r="M156" s="927"/>
      <c r="N156" s="924">
        <f t="shared" si="5"/>
        <v>0</v>
      </c>
      <c r="O156" s="924">
        <f t="shared" si="6"/>
        <v>0</v>
      </c>
      <c r="P156" s="860"/>
    </row>
    <row r="157" spans="1:16">
      <c r="A157" s="482"/>
      <c r="B157" s="857" t="str">
        <f t="shared" si="10"/>
        <v/>
      </c>
      <c r="C157" s="918" t="str">
        <f>IF(D98="","-",+C156+1)</f>
        <v>-</v>
      </c>
      <c r="D157" s="925">
        <f t="shared" si="7"/>
        <v>0</v>
      </c>
      <c r="E157" s="926">
        <f>IF(+I101&lt;F156,I101,D157)</f>
        <v>0</v>
      </c>
      <c r="F157" s="925">
        <f t="shared" si="2"/>
        <v>0</v>
      </c>
      <c r="G157" s="929">
        <f t="shared" si="8"/>
        <v>0</v>
      </c>
      <c r="H157" s="900">
        <f t="shared" si="9"/>
        <v>0</v>
      </c>
      <c r="I157" s="921">
        <f t="shared" si="3"/>
        <v>0</v>
      </c>
      <c r="J157" s="921"/>
      <c r="K157" s="927"/>
      <c r="L157" s="924">
        <f t="shared" si="4"/>
        <v>0</v>
      </c>
      <c r="M157" s="927"/>
      <c r="N157" s="924">
        <f t="shared" si="5"/>
        <v>0</v>
      </c>
      <c r="O157" s="924">
        <f t="shared" si="6"/>
        <v>0</v>
      </c>
      <c r="P157" s="860"/>
    </row>
    <row r="158" spans="1:16">
      <c r="A158" s="482"/>
      <c r="B158" s="857" t="str">
        <f t="shared" si="10"/>
        <v/>
      </c>
      <c r="C158" s="918" t="str">
        <f>IF(D98="","-",+C157+1)</f>
        <v>-</v>
      </c>
      <c r="D158" s="925">
        <f t="shared" si="7"/>
        <v>0</v>
      </c>
      <c r="E158" s="926">
        <f>IF(+I101&lt;F157,I101,D158)</f>
        <v>0</v>
      </c>
      <c r="F158" s="925">
        <f t="shared" si="2"/>
        <v>0</v>
      </c>
      <c r="G158" s="929">
        <f t="shared" si="8"/>
        <v>0</v>
      </c>
      <c r="H158" s="900">
        <f t="shared" si="9"/>
        <v>0</v>
      </c>
      <c r="I158" s="921">
        <f t="shared" si="3"/>
        <v>0</v>
      </c>
      <c r="J158" s="921"/>
      <c r="K158" s="927"/>
      <c r="L158" s="924">
        <f t="shared" si="4"/>
        <v>0</v>
      </c>
      <c r="M158" s="927"/>
      <c r="N158" s="924">
        <f t="shared" si="5"/>
        <v>0</v>
      </c>
      <c r="O158" s="924">
        <f t="shared" si="6"/>
        <v>0</v>
      </c>
      <c r="P158" s="860"/>
    </row>
    <row r="159" spans="1:16" ht="13" thickBot="1">
      <c r="A159" s="482"/>
      <c r="B159" s="857" t="str">
        <f t="shared" si="10"/>
        <v/>
      </c>
      <c r="C159" s="930" t="str">
        <f>IF(D98="","-",+C158+1)</f>
        <v>-</v>
      </c>
      <c r="D159" s="931">
        <f t="shared" si="7"/>
        <v>0</v>
      </c>
      <c r="E159" s="932">
        <f>IF(+I101&lt;F158,I101,D159)</f>
        <v>0</v>
      </c>
      <c r="F159" s="931">
        <f t="shared" si="2"/>
        <v>0</v>
      </c>
      <c r="G159" s="933">
        <f t="shared" si="8"/>
        <v>0</v>
      </c>
      <c r="H159" s="882">
        <f t="shared" si="9"/>
        <v>0</v>
      </c>
      <c r="I159" s="934">
        <f t="shared" si="3"/>
        <v>0</v>
      </c>
      <c r="J159" s="921"/>
      <c r="K159" s="935"/>
      <c r="L159" s="936">
        <f t="shared" si="4"/>
        <v>0</v>
      </c>
      <c r="M159" s="935"/>
      <c r="N159" s="936">
        <f t="shared" si="5"/>
        <v>0</v>
      </c>
      <c r="O159" s="936">
        <f t="shared" si="6"/>
        <v>0</v>
      </c>
      <c r="P159" s="860"/>
    </row>
    <row r="160" spans="1:16">
      <c r="A160" s="482"/>
      <c r="B160" s="482"/>
      <c r="C160" s="919" t="s">
        <v>475</v>
      </c>
      <c r="D160" s="864"/>
      <c r="E160" s="864">
        <f>SUM(E104:E159)</f>
        <v>0</v>
      </c>
      <c r="F160" s="864"/>
      <c r="G160" s="864">
        <f>SUM(G104:G159)</f>
        <v>0</v>
      </c>
      <c r="H160" s="864">
        <f>SUM(H104:H159)</f>
        <v>0</v>
      </c>
      <c r="I160" s="864">
        <f>SUM(I104:I159)</f>
        <v>0</v>
      </c>
      <c r="J160" s="864"/>
      <c r="K160" s="864"/>
      <c r="L160" s="864"/>
      <c r="M160" s="864"/>
      <c r="N160" s="864"/>
      <c r="O160" s="860"/>
      <c r="P160" s="860"/>
    </row>
    <row r="161" spans="1:16">
      <c r="A161" s="482"/>
      <c r="B161" s="482"/>
      <c r="C161" s="482"/>
      <c r="D161" s="857"/>
      <c r="E161" s="482"/>
      <c r="F161" s="482"/>
      <c r="G161" s="482"/>
      <c r="H161" s="859"/>
      <c r="I161" s="859"/>
      <c r="J161" s="864"/>
      <c r="K161" s="859"/>
      <c r="L161" s="859"/>
      <c r="M161" s="859"/>
      <c r="N161" s="859"/>
      <c r="O161" s="482"/>
      <c r="P161" s="482"/>
    </row>
    <row r="162" spans="1:16" ht="13">
      <c r="A162" s="482"/>
      <c r="B162" s="482"/>
      <c r="C162" s="578" t="s">
        <v>634</v>
      </c>
      <c r="D162" s="857"/>
      <c r="E162" s="482"/>
      <c r="F162" s="482"/>
      <c r="G162" s="482"/>
      <c r="H162" s="859"/>
      <c r="I162" s="859"/>
      <c r="J162" s="864"/>
      <c r="K162" s="859"/>
      <c r="L162" s="859"/>
      <c r="M162" s="859"/>
      <c r="N162" s="859"/>
      <c r="O162" s="482"/>
      <c r="P162" s="482"/>
    </row>
    <row r="163" spans="1:16" ht="13">
      <c r="A163" s="482"/>
      <c r="B163" s="482"/>
      <c r="C163" s="578" t="s">
        <v>476</v>
      </c>
      <c r="D163" s="857"/>
      <c r="E163" s="482"/>
      <c r="F163" s="482"/>
      <c r="G163" s="482"/>
      <c r="H163" s="859"/>
      <c r="I163" s="859"/>
      <c r="J163" s="864"/>
      <c r="K163" s="859"/>
      <c r="L163" s="859"/>
      <c r="M163" s="859"/>
      <c r="N163" s="859"/>
      <c r="O163" s="860"/>
      <c r="P163" s="860"/>
    </row>
    <row r="164" spans="1:16" ht="13">
      <c r="A164" s="482"/>
      <c r="B164" s="482"/>
      <c r="C164" s="578" t="s">
        <v>477</v>
      </c>
      <c r="D164" s="919"/>
      <c r="E164" s="919"/>
      <c r="F164" s="919"/>
      <c r="G164" s="864"/>
      <c r="H164" s="864"/>
      <c r="I164" s="937"/>
      <c r="J164" s="937"/>
      <c r="K164" s="937"/>
      <c r="L164" s="937"/>
      <c r="M164" s="937"/>
      <c r="N164" s="937"/>
      <c r="O164" s="860"/>
      <c r="P164" s="860"/>
    </row>
    <row r="165" spans="1:16" ht="13">
      <c r="A165" s="482"/>
      <c r="B165" s="482"/>
      <c r="C165" s="578"/>
      <c r="D165" s="919"/>
      <c r="E165" s="919"/>
      <c r="F165" s="919"/>
      <c r="G165" s="864"/>
      <c r="H165" s="864"/>
      <c r="I165" s="937"/>
      <c r="J165" s="937"/>
      <c r="K165" s="937"/>
      <c r="L165" s="937"/>
      <c r="M165" s="937"/>
      <c r="N165" s="937"/>
      <c r="O165" s="860"/>
      <c r="P165" s="482"/>
    </row>
    <row r="166" spans="1:16">
      <c r="A166" s="482"/>
      <c r="B166" s="482"/>
      <c r="C166" s="599"/>
      <c r="D166" s="857"/>
      <c r="E166" s="482"/>
      <c r="F166" s="938"/>
      <c r="G166" s="482"/>
      <c r="H166" s="859"/>
      <c r="I166" s="482"/>
      <c r="J166" s="860"/>
      <c r="K166" s="482"/>
      <c r="L166" s="482"/>
      <c r="M166" s="482"/>
      <c r="N166" s="482"/>
      <c r="O166" s="482"/>
      <c r="P166" s="482"/>
    </row>
    <row r="167" spans="1:16" ht="17.5">
      <c r="A167" s="482"/>
      <c r="B167" s="482"/>
      <c r="C167" s="939"/>
      <c r="D167" s="857"/>
      <c r="E167" s="482"/>
      <c r="F167" s="938"/>
      <c r="G167" s="482"/>
      <c r="H167" s="859"/>
      <c r="I167" s="482"/>
      <c r="J167" s="860"/>
      <c r="K167" s="482"/>
      <c r="L167" s="482"/>
      <c r="M167" s="482"/>
      <c r="N167" s="482"/>
      <c r="O167" s="482"/>
      <c r="P167" s="940"/>
    </row>
    <row r="168" spans="1:16">
      <c r="P168" s="497"/>
    </row>
    <row r="169" spans="1:16">
      <c r="P169" s="497"/>
    </row>
    <row r="170" spans="1:16">
      <c r="P170" s="497"/>
    </row>
    <row r="171" spans="1:16">
      <c r="P171" s="497"/>
    </row>
  </sheetData>
  <mergeCells count="8">
    <mergeCell ref="J7:N9"/>
    <mergeCell ref="J10:N10"/>
    <mergeCell ref="J12:N14"/>
    <mergeCell ref="A2:I2"/>
    <mergeCell ref="A3:I3"/>
    <mergeCell ref="A4:I4"/>
    <mergeCell ref="A5:I5"/>
    <mergeCell ref="C7:I7"/>
  </mergeCells>
  <conditionalFormatting sqref="C104:C159">
    <cfRule type="cellIs" dxfId="6" priority="1" stopIfTrue="1" operator="equal">
      <formula>$I$9</formula>
    </cfRule>
  </conditionalFormatting>
  <printOptions horizontalCentered="1"/>
  <pageMargins left="0.25" right="0.25" top="0.75" bottom="0.25" header="0.25" footer="0.5"/>
  <pageSetup scale="41" fitToHeight="5" orientation="landscape" horizontalDpi="1200" verticalDpi="1200" r:id="rId1"/>
  <headerFooter alignWithMargins="0">
    <oddHeader xml:space="preserve">&amp;R&amp;12AEP - SPP Transco Formula Rate
TCOS - WS F
Page: &amp;P of &amp;N&amp;16
</oddHeader>
    <oddFooter xml:space="preserve">&amp;C &amp;R </oddFooter>
  </headerFooter>
  <rowBreaks count="1" manualBreakCount="1">
    <brk id="87" max="14" man="1"/>
  </rowBreaks>
  <colBreaks count="1" manualBreakCount="1">
    <brk id="1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U166"/>
  <sheetViews>
    <sheetView zoomScale="81" zoomScaleNormal="81" zoomScaleSheetLayoutView="75" zoomScalePageLayoutView="50" workbookViewId="0"/>
  </sheetViews>
  <sheetFormatPr defaultColWidth="8.81640625" defaultRowHeight="12.5"/>
  <cols>
    <col min="1" max="1" width="9.26953125" style="497" customWidth="1"/>
    <col min="2" max="2" width="6.7265625" style="497" customWidth="1"/>
    <col min="3" max="3" width="26.54296875" style="497" customWidth="1"/>
    <col min="4" max="4" width="17.7265625" style="550" customWidth="1"/>
    <col min="5" max="5" width="21.7265625" style="497" customWidth="1"/>
    <col min="6" max="8" width="17.7265625" style="497" customWidth="1"/>
    <col min="9" max="9" width="19.54296875" style="553" customWidth="1"/>
    <col min="10" max="10" width="20.26953125" style="553" customWidth="1"/>
    <col min="11" max="11" width="13.54296875" style="553" customWidth="1"/>
    <col min="12" max="13" width="17.7265625" style="497" customWidth="1"/>
    <col min="14" max="14" width="19.26953125" style="497" customWidth="1"/>
    <col min="15" max="15" width="18.453125" style="497" customWidth="1"/>
    <col min="16" max="16" width="19.54296875" style="497" customWidth="1"/>
    <col min="17" max="17" width="2.1796875" style="599" customWidth="1"/>
    <col min="18" max="18" width="16.453125" style="599" customWidth="1"/>
    <col min="19" max="19" width="57.81640625" style="497" bestFit="1" customWidth="1"/>
    <col min="20" max="20" width="17.1796875" style="497" customWidth="1"/>
    <col min="21" max="16384" width="8.81640625" style="497"/>
  </cols>
  <sheetData>
    <row r="1" spans="1:21" ht="15.5">
      <c r="A1" s="551"/>
    </row>
    <row r="2" spans="1:21" ht="17.5">
      <c r="A2" s="2002" t="str">
        <f>'OKT TCOS'!F4</f>
        <v xml:space="preserve">AEP West SPP Member Transmission Companies </v>
      </c>
      <c r="B2" s="2002"/>
      <c r="C2" s="2002"/>
      <c r="D2" s="2002"/>
      <c r="E2" s="2002"/>
      <c r="F2" s="2002"/>
      <c r="G2" s="2002"/>
      <c r="H2" s="2002"/>
      <c r="I2" s="2002"/>
      <c r="J2" s="941"/>
      <c r="K2" s="941"/>
    </row>
    <row r="3" spans="1:21" ht="17.5">
      <c r="A3" s="2011" t="str">
        <f>+'OKT WS A-1 - Plant'!A3</f>
        <v xml:space="preserve">Actual / Projected 2019 Rate Year Cost of Service Formula Rate </v>
      </c>
      <c r="B3" s="2002"/>
      <c r="C3" s="2002"/>
      <c r="D3" s="2002"/>
      <c r="E3" s="2002"/>
      <c r="F3" s="2002"/>
      <c r="G3" s="2002"/>
      <c r="H3" s="2002"/>
      <c r="I3" s="2002"/>
      <c r="J3" s="942"/>
      <c r="K3" s="942"/>
    </row>
    <row r="4" spans="1:21" ht="18">
      <c r="A4" s="2002" t="s">
        <v>636</v>
      </c>
      <c r="B4" s="2002"/>
      <c r="C4" s="2002"/>
      <c r="D4" s="2002"/>
      <c r="E4" s="2002"/>
      <c r="F4" s="2002"/>
      <c r="G4" s="2002"/>
      <c r="H4" s="2002"/>
      <c r="I4" s="2002"/>
      <c r="J4" s="942"/>
      <c r="K4" s="942"/>
    </row>
    <row r="5" spans="1:21" ht="18">
      <c r="A5" s="2003" t="str">
        <f>+'OKT TCOS'!F8</f>
        <v>AEP OKLAHOMA TRANSMISSION COMPANY, INC.</v>
      </c>
      <c r="B5" s="2003"/>
      <c r="C5" s="2003"/>
      <c r="D5" s="2003"/>
      <c r="E5" s="2003"/>
      <c r="F5" s="2003"/>
      <c r="G5" s="2003"/>
      <c r="H5" s="2003"/>
      <c r="I5" s="2003"/>
      <c r="J5" s="943"/>
      <c r="K5" s="943"/>
    </row>
    <row r="7" spans="1:21" ht="35.25" customHeight="1">
      <c r="A7" s="742" t="s">
        <v>307</v>
      </c>
      <c r="B7" s="743" t="s">
        <v>309</v>
      </c>
      <c r="C7" s="2034" t="str">
        <f>"Calculate Return and Income Taxes with "&amp;F12&amp;" basis point ROE increase for Projects Qualified for Incentive."</f>
        <v>Calculate Return and Income Taxes with 0 basis point ROE increase for Projects Qualified for Incentive.</v>
      </c>
      <c r="D7" s="2000"/>
      <c r="E7" s="2000"/>
      <c r="F7" s="2000"/>
      <c r="G7" s="2000"/>
      <c r="H7" s="2000"/>
      <c r="I7" s="2000"/>
      <c r="J7" s="744"/>
      <c r="K7" s="744"/>
      <c r="L7" s="2005" t="s">
        <v>429</v>
      </c>
      <c r="M7" s="2005"/>
      <c r="N7" s="2005"/>
      <c r="O7" s="2005"/>
      <c r="P7" s="2005"/>
      <c r="R7" s="740" t="s">
        <v>498</v>
      </c>
    </row>
    <row r="8" spans="1:21" ht="15.75" customHeight="1">
      <c r="A8" s="742" t="s">
        <v>245</v>
      </c>
      <c r="C8" s="744"/>
      <c r="D8" s="744"/>
      <c r="E8" s="744"/>
      <c r="F8" s="744"/>
      <c r="G8" s="744"/>
      <c r="H8" s="744"/>
      <c r="I8" s="744"/>
      <c r="J8" s="744"/>
      <c r="K8" s="744"/>
      <c r="L8" s="2005"/>
      <c r="M8" s="2005"/>
      <c r="N8" s="2005"/>
      <c r="O8" s="2005"/>
      <c r="P8" s="2005"/>
    </row>
    <row r="9" spans="1:21" ht="15.5">
      <c r="C9" s="745" t="str">
        <f>"A.   Determine 'R' with hypothetical "&amp;F12&amp;" basis point increase in ROE for Identified Projects"</f>
        <v>A.   Determine 'R' with hypothetical 0 basis point increase in ROE for Identified Projects</v>
      </c>
      <c r="L9" s="2005"/>
      <c r="M9" s="2005"/>
      <c r="N9" s="2005"/>
      <c r="O9" s="2005"/>
      <c r="P9" s="2005"/>
      <c r="R9" s="497"/>
      <c r="S9" s="497" t="s">
        <v>165</v>
      </c>
    </row>
    <row r="10" spans="1:21" ht="18" customHeight="1">
      <c r="L10" s="2005"/>
      <c r="M10" s="2005"/>
      <c r="N10" s="2005"/>
      <c r="O10" s="2005"/>
      <c r="P10" s="2005"/>
      <c r="R10" s="746" t="s">
        <v>159</v>
      </c>
      <c r="S10" s="740" t="s">
        <v>338</v>
      </c>
    </row>
    <row r="11" spans="1:21" ht="13.5" thickBot="1">
      <c r="A11" s="550">
        <v>1</v>
      </c>
      <c r="C11" s="1" t="str">
        <f>"   ROE w/o incentives  (TCOS, ln "&amp;'OKT TCOS'!B237&amp;")"</f>
        <v xml:space="preserve">   ROE w/o incentives  (TCOS, ln 143)</v>
      </c>
      <c r="E11" s="747"/>
      <c r="F11" s="748">
        <f>+'OKT TCOS'!J237</f>
        <v>0.105</v>
      </c>
      <c r="G11" s="748"/>
      <c r="H11" s="749"/>
      <c r="I11" s="750"/>
      <c r="J11" s="750"/>
      <c r="K11" s="750"/>
      <c r="L11" s="744"/>
      <c r="M11" s="744"/>
      <c r="N11" s="744"/>
      <c r="O11" s="744"/>
      <c r="P11" s="744"/>
      <c r="Q11" s="751"/>
      <c r="R11" s="740" t="s">
        <v>432</v>
      </c>
      <c r="T11" s="754"/>
    </row>
    <row r="12" spans="1:21" ht="14">
      <c r="A12" s="550">
        <f>+A11+1</f>
        <v>2</v>
      </c>
      <c r="C12" s="1" t="s">
        <v>147</v>
      </c>
      <c r="E12" s="747"/>
      <c r="F12" s="755">
        <v>0</v>
      </c>
      <c r="G12" s="756" t="s">
        <v>337</v>
      </c>
      <c r="I12" s="497"/>
      <c r="J12" s="497"/>
      <c r="K12" s="497"/>
      <c r="L12" s="761"/>
      <c r="M12" s="761"/>
      <c r="N12" s="761"/>
      <c r="O12" s="761"/>
      <c r="P12" s="761"/>
      <c r="Q12" s="751"/>
      <c r="R12" s="752" t="s">
        <v>496</v>
      </c>
      <c r="S12" s="753" t="s">
        <v>88</v>
      </c>
      <c r="T12" s="132"/>
    </row>
    <row r="13" spans="1:21" ht="13.5" thickBot="1">
      <c r="A13" s="550">
        <f>+A12+1</f>
        <v>3</v>
      </c>
      <c r="C13" s="1" t="str">
        <f>"   ROE with additional "&amp;F12&amp;" basis point incentive"</f>
        <v xml:space="preserve">   ROE with additional 0 basis point incentive</v>
      </c>
      <c r="D13" s="747"/>
      <c r="E13" s="747"/>
      <c r="F13" s="759">
        <f>IF((F11+(F12/10000)&gt;0.1245),"ERROR",F11+(F12/10000))</f>
        <v>0.105</v>
      </c>
      <c r="G13" s="760" t="s">
        <v>635</v>
      </c>
      <c r="I13" s="761"/>
      <c r="J13" s="761"/>
      <c r="K13" s="761"/>
      <c r="Q13" s="751"/>
      <c r="R13" s="757">
        <f>M17</f>
        <v>2019</v>
      </c>
      <c r="S13" s="758" t="s">
        <v>125</v>
      </c>
      <c r="T13" s="132"/>
      <c r="U13" s="599"/>
    </row>
    <row r="14" spans="1:21">
      <c r="A14" s="550">
        <f t="shared" ref="A14:A46" si="0">+A13+1</f>
        <v>4</v>
      </c>
      <c r="C14" s="764" t="str">
        <f>"   Determine R  (cost of long term debt, cost of preferred stock and percent is from TCOS, lns "&amp;'OKT TCOS'!B235&amp;" through "&amp;'OKT TCOS'!B237&amp;")"</f>
        <v xml:space="preserve">   Determine R  (cost of long term debt, cost of preferred stock and percent is from TCOS, lns 141 through 143)</v>
      </c>
      <c r="E14" s="747"/>
      <c r="F14" s="759"/>
      <c r="G14" s="759"/>
      <c r="H14" s="747"/>
      <c r="I14" s="761"/>
      <c r="J14" s="761"/>
      <c r="K14" s="761"/>
      <c r="L14" s="2035" t="s">
        <v>384</v>
      </c>
      <c r="M14" s="2036"/>
      <c r="N14" s="2036"/>
      <c r="O14" s="2036"/>
      <c r="P14" s="2037"/>
      <c r="Q14" s="751"/>
      <c r="R14" s="944">
        <f>+F11</f>
        <v>0.105</v>
      </c>
      <c r="S14" s="758" t="str">
        <f>+C11</f>
        <v xml:space="preserve">   ROE w/o incentives  (TCOS, ln 143)</v>
      </c>
      <c r="T14" s="132"/>
      <c r="U14" s="599"/>
    </row>
    <row r="15" spans="1:21" ht="16.5" customHeight="1">
      <c r="A15" s="550">
        <f t="shared" si="0"/>
        <v>5</v>
      </c>
      <c r="C15" s="751"/>
      <c r="D15" s="766" t="s">
        <v>284</v>
      </c>
      <c r="E15" s="766" t="s">
        <v>283</v>
      </c>
      <c r="F15" s="767" t="s">
        <v>369</v>
      </c>
      <c r="G15" s="767"/>
      <c r="H15" s="747"/>
      <c r="I15" s="761"/>
      <c r="J15" s="761"/>
      <c r="K15" s="761"/>
      <c r="L15" s="2038"/>
      <c r="M15" s="2039"/>
      <c r="N15" s="2039"/>
      <c r="O15" s="2039"/>
      <c r="P15" s="2040"/>
      <c r="Q15" s="751"/>
      <c r="R15" s="765">
        <f>+F12</f>
        <v>0</v>
      </c>
      <c r="S15" s="758" t="str">
        <f>+C12</f>
        <v xml:space="preserve">   Project ROE Incentive Adder (Enter as whole number)</v>
      </c>
      <c r="T15" s="132"/>
      <c r="U15" s="599"/>
    </row>
    <row r="16" spans="1:21">
      <c r="A16" s="550">
        <f t="shared" si="0"/>
        <v>6</v>
      </c>
      <c r="C16" s="773" t="s">
        <v>372</v>
      </c>
      <c r="D16" s="774">
        <f>'OKT TCOS'!G235</f>
        <v>0.44194655758972329</v>
      </c>
      <c r="E16" s="775">
        <f>+'OKT TCOS'!J235</f>
        <v>4.114257704572407E-2</v>
      </c>
      <c r="F16" s="776">
        <f>E16*D16</f>
        <v>1.8182820295727719E-2</v>
      </c>
      <c r="G16" s="777"/>
      <c r="H16" s="747"/>
      <c r="I16" s="761"/>
      <c r="J16" s="761"/>
      <c r="K16" s="761"/>
      <c r="L16" s="783"/>
      <c r="M16" s="751"/>
      <c r="N16" s="751" t="s">
        <v>370</v>
      </c>
      <c r="O16" s="751" t="s">
        <v>431</v>
      </c>
      <c r="P16" s="785" t="s">
        <v>371</v>
      </c>
      <c r="Q16" s="781"/>
      <c r="R16" s="944">
        <f>+D16</f>
        <v>0.44194655758972329</v>
      </c>
      <c r="S16" s="772" t="str">
        <f>+C16&amp;" "&amp;D15</f>
        <v>Long Term Debt %</v>
      </c>
      <c r="T16" s="132"/>
      <c r="U16" s="599"/>
    </row>
    <row r="17" spans="1:21">
      <c r="A17" s="550">
        <f t="shared" si="0"/>
        <v>7</v>
      </c>
      <c r="C17" s="773" t="s">
        <v>373</v>
      </c>
      <c r="D17" s="774">
        <f>'OKT TCOS'!G236</f>
        <v>0</v>
      </c>
      <c r="E17" s="775">
        <f>+'OKT TCOS'!J236</f>
        <v>0</v>
      </c>
      <c r="F17" s="776">
        <f>E17*D17</f>
        <v>0</v>
      </c>
      <c r="G17" s="777"/>
      <c r="H17" s="782"/>
      <c r="I17" s="782"/>
      <c r="J17" s="782"/>
      <c r="K17" s="782"/>
      <c r="L17" s="783" t="s">
        <v>424</v>
      </c>
      <c r="M17" s="945">
        <v>2019</v>
      </c>
      <c r="N17" s="599"/>
      <c r="O17" s="599"/>
      <c r="P17" s="758"/>
      <c r="Q17" s="786"/>
      <c r="R17" s="946">
        <f>+E16</f>
        <v>4.114257704572407E-2</v>
      </c>
      <c r="S17" s="772" t="str">
        <f>C16&amp;" "&amp;E15</f>
        <v>Long Term Debt Cost</v>
      </c>
      <c r="T17" s="132"/>
      <c r="U17" s="599"/>
    </row>
    <row r="18" spans="1:21">
      <c r="A18" s="550">
        <f t="shared" si="0"/>
        <v>8</v>
      </c>
      <c r="C18" s="773" t="s">
        <v>365</v>
      </c>
      <c r="D18" s="774">
        <f>'OKT TCOS'!G237</f>
        <v>0.55805344241027677</v>
      </c>
      <c r="E18" s="775">
        <f>+F13</f>
        <v>0.105</v>
      </c>
      <c r="F18" s="787">
        <f>E18*D18</f>
        <v>5.8595611453079059E-2</v>
      </c>
      <c r="G18" s="788"/>
      <c r="H18" s="782"/>
      <c r="I18" s="782"/>
      <c r="J18" s="782"/>
      <c r="K18" s="782"/>
      <c r="L18" s="947" t="s">
        <v>425</v>
      </c>
      <c r="M18" s="948"/>
      <c r="N18" s="949">
        <f>+R46</f>
        <v>36715956.554148674</v>
      </c>
      <c r="O18" s="949">
        <f>+R47</f>
        <v>36715956.554148674</v>
      </c>
      <c r="P18" s="950">
        <f>+O18-N18</f>
        <v>0</v>
      </c>
      <c r="Q18" s="786"/>
      <c r="R18" s="944">
        <f>+D17</f>
        <v>0</v>
      </c>
      <c r="S18" s="772" t="str">
        <f>C17&amp;" "&amp;D15</f>
        <v>Preferred Stock %</v>
      </c>
      <c r="T18" s="132"/>
      <c r="U18" s="599"/>
    </row>
    <row r="19" spans="1:21">
      <c r="A19" s="550">
        <f t="shared" si="0"/>
        <v>9</v>
      </c>
      <c r="C19" s="1"/>
      <c r="D19" s="747"/>
      <c r="E19" s="790" t="s">
        <v>374</v>
      </c>
      <c r="F19" s="776">
        <f>SUM(F16:F18)</f>
        <v>7.6778431748806775E-2</v>
      </c>
      <c r="G19" s="777"/>
      <c r="H19" s="791"/>
      <c r="I19" s="782"/>
      <c r="J19" s="782"/>
      <c r="K19" s="782"/>
      <c r="L19" s="951" t="s">
        <v>430</v>
      </c>
      <c r="M19" s="952"/>
      <c r="N19" s="949">
        <f>+R48</f>
        <v>39138830.897015929</v>
      </c>
      <c r="O19" s="949">
        <f>+R49</f>
        <v>39138830.897015929</v>
      </c>
      <c r="P19" s="950">
        <f>+O19-N19</f>
        <v>0</v>
      </c>
      <c r="Q19" s="786"/>
      <c r="R19" s="946">
        <f>+E17</f>
        <v>0</v>
      </c>
      <c r="S19" s="772" t="str">
        <f>C17&amp;" "&amp;E15</f>
        <v>Preferred Stock Cost</v>
      </c>
      <c r="T19" s="132"/>
      <c r="U19" s="599"/>
    </row>
    <row r="20" spans="1:21" ht="13" thickBot="1">
      <c r="A20" s="550"/>
      <c r="D20" s="797"/>
      <c r="E20" s="797"/>
      <c r="F20" s="782"/>
      <c r="G20" s="782"/>
      <c r="H20" s="782"/>
      <c r="I20" s="782"/>
      <c r="J20" s="782"/>
      <c r="K20" s="782"/>
      <c r="L20" s="953" t="str">
        <f>"True-up Adjustment For "&amp;M17&amp;""</f>
        <v>True-up Adjustment For 2019</v>
      </c>
      <c r="M20" s="954"/>
      <c r="N20" s="955">
        <f>+N19-N18</f>
        <v>2422874.3428672552</v>
      </c>
      <c r="O20" s="955">
        <f>+O19-O18</f>
        <v>2422874.3428672552</v>
      </c>
      <c r="P20" s="956">
        <f>+P19-P18</f>
        <v>0</v>
      </c>
      <c r="Q20" s="799"/>
      <c r="R20" s="944">
        <f>+D18</f>
        <v>0.55805344241027677</v>
      </c>
      <c r="S20" s="796" t="str">
        <f>C18&amp;" "&amp;D15</f>
        <v>Common Stock %</v>
      </c>
      <c r="T20" s="132"/>
      <c r="U20" s="599"/>
    </row>
    <row r="21" spans="1:21" ht="15.5">
      <c r="A21" s="550"/>
      <c r="C21" s="745" t="str">
        <f>"B.   Determine Return using 'R' with hypothetical "&amp;F12&amp;" basis point ROE increase for Identified Projects."</f>
        <v>B.   Determine Return using 'R' with hypothetical 0 basis point ROE increase for Identified Projects.</v>
      </c>
      <c r="D21" s="797"/>
      <c r="E21" s="797"/>
      <c r="F21" s="782"/>
      <c r="G21" s="782"/>
      <c r="H21" s="782"/>
      <c r="I21" s="747"/>
      <c r="J21" s="747"/>
      <c r="K21" s="747"/>
      <c r="L21" s="781"/>
      <c r="M21" s="784"/>
      <c r="N21" s="957"/>
      <c r="O21" s="957"/>
      <c r="P21" s="949"/>
      <c r="Q21" s="799"/>
      <c r="R21" s="804">
        <f>+E23</f>
        <v>695216659.71242821</v>
      </c>
      <c r="S21" s="801" t="str">
        <f>C23</f>
        <v xml:space="preserve">   Rate Base  (TCOS, ln 63)</v>
      </c>
      <c r="T21" s="132"/>
      <c r="U21" s="599"/>
    </row>
    <row r="22" spans="1:21">
      <c r="A22" s="550"/>
      <c r="C22" s="751"/>
      <c r="D22" s="797"/>
      <c r="E22" s="797"/>
      <c r="F22" s="799"/>
      <c r="G22" s="799"/>
      <c r="H22" s="799"/>
      <c r="I22" s="799"/>
      <c r="J22" s="799"/>
      <c r="K22" s="799"/>
      <c r="L22" s="782"/>
      <c r="M22" s="782"/>
      <c r="N22" s="782"/>
      <c r="O22" s="782"/>
      <c r="P22" s="782"/>
      <c r="Q22" s="799"/>
      <c r="R22" s="803">
        <f>+F30</f>
        <v>0.254714</v>
      </c>
      <c r="S22" s="758" t="str">
        <f>+C30</f>
        <v xml:space="preserve">   Tax Rate  (TCOS, ln 99)</v>
      </c>
      <c r="T22" s="132"/>
      <c r="U22" s="599"/>
    </row>
    <row r="23" spans="1:21" ht="13">
      <c r="A23" s="550">
        <f>+A19+1</f>
        <v>10</v>
      </c>
      <c r="C23" s="1" t="str">
        <f>"   Rate Base  (TCOS, ln "&amp;'OKT TCOS'!B113&amp;")"</f>
        <v xml:space="preserve">   Rate Base  (TCOS, ln 63)</v>
      </c>
      <c r="D23" s="747"/>
      <c r="E23" s="805">
        <f>+'OKT TCOS'!L113</f>
        <v>695216659.71242821</v>
      </c>
      <c r="F23" s="806"/>
      <c r="G23" s="806"/>
      <c r="H23" s="799"/>
      <c r="I23" s="799"/>
      <c r="J23" s="799"/>
      <c r="K23" s="799"/>
      <c r="L23" s="578"/>
      <c r="M23" s="799"/>
      <c r="N23" s="799"/>
      <c r="O23" s="799"/>
      <c r="P23" s="799"/>
      <c r="Q23" s="799"/>
      <c r="R23" s="804">
        <f>+F33</f>
        <v>0</v>
      </c>
      <c r="S23" s="758" t="str">
        <f>+C33</f>
        <v xml:space="preserve">   ITC Adjustment  (TCOS, ln 108)</v>
      </c>
      <c r="T23" s="132"/>
      <c r="U23" s="599"/>
    </row>
    <row r="24" spans="1:21">
      <c r="A24" s="550">
        <f t="shared" si="0"/>
        <v>11</v>
      </c>
      <c r="C24" s="751" t="s">
        <v>343</v>
      </c>
      <c r="D24" s="749"/>
      <c r="E24" s="807">
        <f>F19</f>
        <v>7.6778431748806775E-2</v>
      </c>
      <c r="F24" s="799"/>
      <c r="G24" s="799"/>
      <c r="H24" s="799"/>
      <c r="I24" s="799"/>
      <c r="J24" s="799"/>
      <c r="K24" s="799"/>
      <c r="M24" s="799"/>
      <c r="N24" s="799"/>
      <c r="O24" s="799"/>
      <c r="P24" s="806"/>
      <c r="Q24" s="799"/>
      <c r="R24" s="804">
        <f>+F34</f>
        <v>726117.49046674673</v>
      </c>
      <c r="S24" s="758" t="str">
        <f>+C34</f>
        <v xml:space="preserve">   Excess DFIT Adjustment  (TCOS, ln 109)</v>
      </c>
      <c r="T24" s="132"/>
      <c r="U24" s="599"/>
    </row>
    <row r="25" spans="1:21">
      <c r="A25" s="550">
        <f t="shared" si="0"/>
        <v>12</v>
      </c>
      <c r="C25" s="808" t="s">
        <v>375</v>
      </c>
      <c r="D25" s="808"/>
      <c r="E25" s="809">
        <f>E23*E24</f>
        <v>53377644.85836409</v>
      </c>
      <c r="F25" s="799"/>
      <c r="G25" s="799"/>
      <c r="H25" s="799"/>
      <c r="I25" s="799"/>
      <c r="J25" s="799"/>
      <c r="K25" s="799"/>
      <c r="L25" s="786"/>
      <c r="M25" s="786"/>
      <c r="N25" s="786"/>
      <c r="O25" s="786"/>
      <c r="P25" s="799"/>
      <c r="Q25" s="786"/>
      <c r="R25" s="804">
        <f>+F35</f>
        <v>282675.5098042899</v>
      </c>
      <c r="S25" s="758" t="str">
        <f>+C35</f>
        <v xml:space="preserve">   Tax Effect of Permanent and Flow Through Differences (TCOS, ln 110)</v>
      </c>
      <c r="T25" s="132"/>
      <c r="U25" s="599"/>
    </row>
    <row r="26" spans="1:21">
      <c r="A26" s="550"/>
      <c r="C26" s="808"/>
      <c r="D26" s="761"/>
      <c r="E26" s="761"/>
      <c r="F26" s="799"/>
      <c r="G26" s="799"/>
      <c r="H26" s="799"/>
      <c r="I26" s="799"/>
      <c r="J26" s="799"/>
      <c r="K26" s="799"/>
      <c r="Q26" s="786"/>
      <c r="R26" s="804">
        <f>+F42</f>
        <v>118750671.40136826</v>
      </c>
      <c r="S26" s="758" t="str">
        <f>+C42</f>
        <v xml:space="preserve">   Net Revenue Requirement  (TCOS, ln 117)</v>
      </c>
      <c r="T26" s="132"/>
      <c r="U26" s="599"/>
    </row>
    <row r="27" spans="1:21" ht="15.5">
      <c r="A27" s="550"/>
      <c r="C27" s="745" t="str">
        <f>"C.   Determine Income Taxes using Return with hypothetical "&amp;F12&amp;" basis point ROE increase for Identified Projects."</f>
        <v>C.   Determine Income Taxes using Return with hypothetical 0 basis point ROE increase for Identified Projects.</v>
      </c>
      <c r="D27" s="814"/>
      <c r="E27" s="814"/>
      <c r="F27" s="815"/>
      <c r="G27" s="815"/>
      <c r="H27" s="815"/>
      <c r="I27" s="815"/>
      <c r="J27" s="815"/>
      <c r="K27" s="815"/>
      <c r="Q27" s="818"/>
      <c r="R27" s="804">
        <f>+F43</f>
        <v>53377644.85836409</v>
      </c>
      <c r="S27" s="758" t="str">
        <f>+C43</f>
        <v xml:space="preserve">   Return  (TCOS, ln 112)</v>
      </c>
      <c r="T27" s="132"/>
      <c r="U27" s="599"/>
    </row>
    <row r="28" spans="1:21" ht="14.25" customHeight="1">
      <c r="A28" s="550"/>
      <c r="C28" s="1"/>
      <c r="D28" s="761"/>
      <c r="E28" s="761"/>
      <c r="F28" s="799"/>
      <c r="G28" s="799"/>
      <c r="H28" s="799"/>
      <c r="I28" s="799"/>
      <c r="J28" s="799"/>
      <c r="K28" s="799"/>
      <c r="L28" s="482"/>
      <c r="M28" s="482"/>
      <c r="N28" s="482"/>
      <c r="O28" s="482"/>
      <c r="P28" s="482"/>
      <c r="Q28" s="786"/>
      <c r="R28" s="804">
        <f>+F44</f>
        <v>14931225.278414734</v>
      </c>
      <c r="S28" s="758" t="str">
        <f>+C44</f>
        <v xml:space="preserve">   Income Taxes  (TCOS, ln 111)</v>
      </c>
      <c r="T28" s="132"/>
      <c r="U28" s="754"/>
    </row>
    <row r="29" spans="1:21" ht="19.5" customHeight="1">
      <c r="A29" s="550">
        <f>+A25+1</f>
        <v>13</v>
      </c>
      <c r="C29" s="751" t="s">
        <v>376</v>
      </c>
      <c r="D29" s="790"/>
      <c r="F29" s="819">
        <f>E25</f>
        <v>53377644.85836409</v>
      </c>
      <c r="G29" s="799"/>
      <c r="H29" s="799"/>
      <c r="I29" s="799"/>
      <c r="J29" s="799"/>
      <c r="K29" s="799"/>
      <c r="L29" s="810" t="s">
        <v>126</v>
      </c>
      <c r="M29" s="811" t="s">
        <v>438</v>
      </c>
      <c r="N29" s="812"/>
      <c r="O29" s="812"/>
      <c r="P29" s="868"/>
      <c r="Q29" s="799"/>
      <c r="R29" s="804">
        <f>+F45</f>
        <v>0</v>
      </c>
      <c r="S29" s="758" t="str">
        <f>+C45</f>
        <v xml:space="preserve">  Gross Margin Taxes  (TCOS, ln 116)</v>
      </c>
      <c r="T29" s="132"/>
      <c r="U29" s="599"/>
    </row>
    <row r="30" spans="1:21" ht="18">
      <c r="A30" s="550">
        <f t="shared" si="0"/>
        <v>14</v>
      </c>
      <c r="C30" s="1" t="str">
        <f>"   Tax Rate  (TCOS, ln "&amp;'OKT TCOS'!B168&amp;")"</f>
        <v xml:space="preserve">   Tax Rate  (TCOS, ln 99)</v>
      </c>
      <c r="D30" s="790"/>
      <c r="F30" s="820">
        <f>+'OKT TCOS'!G168</f>
        <v>0.254714</v>
      </c>
      <c r="G30" s="799"/>
      <c r="H30" s="799"/>
      <c r="I30" s="799"/>
      <c r="J30" s="799"/>
      <c r="K30" s="799"/>
      <c r="L30" s="786"/>
      <c r="M30" s="816" t="s">
        <v>426</v>
      </c>
      <c r="N30" s="817"/>
      <c r="O30" s="817"/>
      <c r="P30" s="868"/>
      <c r="Q30" s="799"/>
      <c r="R30" s="804">
        <f>+F55</f>
        <v>27192293.600820702</v>
      </c>
      <c r="S30" s="758" t="str">
        <f>+C55</f>
        <v xml:space="preserve">   Less: Depreciation  (TCOS, ln 86)</v>
      </c>
      <c r="T30" s="132"/>
      <c r="U30" s="599"/>
    </row>
    <row r="31" spans="1:21">
      <c r="A31" s="550">
        <f t="shared" si="0"/>
        <v>15</v>
      </c>
      <c r="C31" s="751" t="s">
        <v>198</v>
      </c>
      <c r="F31" s="759">
        <f>IF(F16&gt;0,($F30/(1-$F30))*(1-$F16/$F19),0)</f>
        <v>0.26082889784827401</v>
      </c>
      <c r="L31" s="482"/>
      <c r="M31" s="482"/>
      <c r="N31" s="482"/>
      <c r="O31" s="482"/>
      <c r="P31" s="482"/>
      <c r="R31" s="803">
        <f>+F61</f>
        <v>0</v>
      </c>
      <c r="S31" s="758" t="str">
        <f>+C61</f>
        <v xml:space="preserve">       Apportionment Factor to Texas (Worksheet K, ln 12)</v>
      </c>
      <c r="T31" s="132"/>
      <c r="U31" s="599"/>
    </row>
    <row r="32" spans="1:21">
      <c r="A32" s="550">
        <f t="shared" si="0"/>
        <v>16</v>
      </c>
      <c r="C32" s="808" t="s">
        <v>199</v>
      </c>
      <c r="F32" s="821">
        <f>F29*F31</f>
        <v>13922432.278143696</v>
      </c>
      <c r="L32" s="482"/>
      <c r="M32" s="482"/>
      <c r="N32" s="482"/>
      <c r="O32" s="482"/>
      <c r="P32" s="482"/>
      <c r="R32" s="804">
        <f>+F71</f>
        <v>847690343.26246154</v>
      </c>
      <c r="S32" s="758" t="str">
        <f>+C71</f>
        <v xml:space="preserve">   Net Transmission Plant  (TCOS, ln 37)</v>
      </c>
      <c r="T32" s="132"/>
      <c r="U32" s="824"/>
    </row>
    <row r="33" spans="1:21" ht="15.5">
      <c r="A33" s="550">
        <f t="shared" si="0"/>
        <v>17</v>
      </c>
      <c r="C33" s="1" t="str">
        <f>"   ITC Adjustment  (TCOS, ln "&amp;'OKT TCOS'!B178&amp;")"</f>
        <v xml:space="preserve">   ITC Adjustment  (TCOS, ln 108)</v>
      </c>
      <c r="D33" s="353"/>
      <c r="F33" s="799">
        <f>+'OKT TCOS'!L178</f>
        <v>0</v>
      </c>
      <c r="G33" s="353"/>
      <c r="H33" s="353"/>
      <c r="I33" s="353"/>
      <c r="J33" s="353"/>
      <c r="K33" s="353"/>
      <c r="L33" s="482"/>
      <c r="M33" s="482"/>
      <c r="N33" s="482"/>
      <c r="O33" s="482"/>
      <c r="P33" s="482"/>
      <c r="Q33" s="353"/>
      <c r="R33" s="803">
        <f>+F77</f>
        <v>0.10800922592579221</v>
      </c>
      <c r="S33" s="958" t="str">
        <f>+C77</f>
        <v xml:space="preserve">   FCR less Depreciation  (TCOS, ln 10)</v>
      </c>
      <c r="T33" s="132"/>
      <c r="U33" s="754"/>
    </row>
    <row r="34" spans="1:21" ht="15.5">
      <c r="A34" s="550">
        <f t="shared" si="0"/>
        <v>18</v>
      </c>
      <c r="C34" s="1" t="str">
        <f>"   Excess DFIT Adjustment  (TCOS, ln "&amp;'OKT TCOS'!B179&amp;")"</f>
        <v xml:space="preserve">   Excess DFIT Adjustment  (TCOS, ln 109)</v>
      </c>
      <c r="D34" s="353"/>
      <c r="F34" s="799">
        <f>+'OKT TCOS'!L179</f>
        <v>726117.49046674673</v>
      </c>
      <c r="G34" s="353"/>
      <c r="H34" s="353"/>
      <c r="I34" s="353"/>
      <c r="J34" s="353"/>
      <c r="K34" s="353"/>
      <c r="L34" s="482"/>
      <c r="M34" s="482"/>
      <c r="N34" s="482"/>
      <c r="O34" s="482"/>
      <c r="P34" s="482"/>
      <c r="Q34" s="353"/>
      <c r="R34" s="959">
        <f>+F81</f>
        <v>997294681.76923072</v>
      </c>
      <c r="S34" s="960" t="str">
        <f>+C81</f>
        <v>Transmission Plant Average Balance for 2019 (WS A-1 Ln 14 Col (d))</v>
      </c>
      <c r="T34" s="132"/>
      <c r="U34" s="754"/>
    </row>
    <row r="35" spans="1:21" ht="16" thickBot="1">
      <c r="A35" s="550">
        <f t="shared" si="0"/>
        <v>19</v>
      </c>
      <c r="C35" s="1" t="str">
        <f>"   Tax Effect of Permanent and Flow Through Differences (TCOS, ln "&amp;'OKT TCOS'!B180&amp;")"</f>
        <v xml:space="preserve">   Tax Effect of Permanent and Flow Through Differences (TCOS, ln 110)</v>
      </c>
      <c r="D35" s="353"/>
      <c r="F35" s="799">
        <f>+'OKT TCOS'!L180</f>
        <v>282675.5098042899</v>
      </c>
      <c r="G35" s="353"/>
      <c r="H35" s="353"/>
      <c r="I35" s="353"/>
      <c r="J35" s="353"/>
      <c r="K35" s="353"/>
      <c r="L35" s="482"/>
      <c r="M35" s="482"/>
      <c r="N35" s="482"/>
      <c r="O35" s="482"/>
      <c r="P35" s="482"/>
      <c r="Q35" s="353"/>
      <c r="R35" s="961">
        <f>+F82</f>
        <v>29216936</v>
      </c>
      <c r="S35" s="962" t="str">
        <f>+C82</f>
        <v>Annual Depreciation Expense  (TCOS, ln 86)</v>
      </c>
      <c r="T35" s="132"/>
      <c r="U35" s="754"/>
    </row>
    <row r="36" spans="1:21" ht="15.5">
      <c r="A36" s="550">
        <f t="shared" si="0"/>
        <v>20</v>
      </c>
      <c r="C36" s="808" t="s">
        <v>377</v>
      </c>
      <c r="D36" s="353"/>
      <c r="F36" s="827">
        <f>+SUM(F32:F35)</f>
        <v>14931225.278414734</v>
      </c>
      <c r="G36" s="353"/>
      <c r="H36" s="353"/>
      <c r="I36" s="353"/>
      <c r="J36" s="353"/>
      <c r="K36" s="353"/>
      <c r="L36" s="798"/>
      <c r="M36" s="798"/>
      <c r="N36" s="798"/>
      <c r="O36" s="798"/>
      <c r="P36" s="798"/>
      <c r="Q36" s="353"/>
      <c r="R36" s="963"/>
      <c r="S36" s="599"/>
      <c r="T36" s="132"/>
    </row>
    <row r="37" spans="1:21" ht="12.75" customHeight="1">
      <c r="A37" s="550"/>
      <c r="C37" s="317"/>
      <c r="D37" s="353"/>
      <c r="E37" s="353"/>
      <c r="F37" s="353"/>
      <c r="G37" s="353"/>
      <c r="H37" s="353"/>
      <c r="I37" s="353"/>
      <c r="J37" s="353"/>
      <c r="K37" s="353"/>
      <c r="L37" s="798"/>
      <c r="M37" s="798"/>
      <c r="N37" s="798"/>
      <c r="O37" s="798"/>
      <c r="P37" s="798"/>
      <c r="Q37" s="353"/>
      <c r="R37" s="497"/>
      <c r="T37" s="132"/>
    </row>
    <row r="38" spans="1:21" ht="18">
      <c r="A38" s="550"/>
      <c r="B38" s="743" t="s">
        <v>310</v>
      </c>
      <c r="C38" s="741" t="str">
        <f>"Calculate Net Plant Carrying Charge Rate (Fixed Charge Rate or FCR) with hypothetical "&amp;F12&amp;" basis point"</f>
        <v>Calculate Net Plant Carrying Charge Rate (Fixed Charge Rate or FCR) with hypothetical 0 basis point</v>
      </c>
      <c r="D38" s="353"/>
      <c r="E38" s="353"/>
      <c r="F38" s="353"/>
      <c r="G38" s="353"/>
      <c r="H38" s="353"/>
      <c r="I38" s="353"/>
      <c r="J38" s="353"/>
      <c r="K38" s="353"/>
      <c r="L38" s="798"/>
      <c r="M38" s="798"/>
      <c r="N38" s="798"/>
      <c r="O38" s="798"/>
      <c r="P38" s="798"/>
      <c r="Q38" s="353"/>
      <c r="R38" s="497"/>
      <c r="T38" s="132"/>
    </row>
    <row r="39" spans="1:21" ht="18.75" customHeight="1">
      <c r="A39" s="550"/>
      <c r="B39" s="743"/>
      <c r="C39" s="741" t="str">
        <f>"ROE increase."</f>
        <v>ROE increase.</v>
      </c>
      <c r="D39" s="353"/>
      <c r="E39" s="353"/>
      <c r="F39" s="353"/>
      <c r="G39" s="353"/>
      <c r="H39" s="353"/>
      <c r="I39" s="353"/>
      <c r="J39" s="353"/>
      <c r="K39" s="353"/>
      <c r="L39" s="353"/>
      <c r="M39" s="353"/>
      <c r="N39" s="353"/>
      <c r="O39" s="353"/>
      <c r="P39" s="289"/>
      <c r="Q39" s="353"/>
      <c r="R39" s="578" t="s">
        <v>166</v>
      </c>
      <c r="S39" s="740" t="s">
        <v>433</v>
      </c>
    </row>
    <row r="40" spans="1:21" ht="12.75" customHeight="1">
      <c r="A40" s="550"/>
      <c r="C40" s="317"/>
      <c r="D40" s="353"/>
      <c r="E40" s="353"/>
      <c r="F40" s="353"/>
      <c r="G40" s="353"/>
      <c r="H40" s="353"/>
      <c r="I40" s="353"/>
      <c r="J40" s="353"/>
      <c r="K40" s="353"/>
      <c r="P40" s="289"/>
      <c r="Q40" s="353"/>
      <c r="R40" s="497"/>
    </row>
    <row r="41" spans="1:21" ht="15.5">
      <c r="A41" s="550"/>
      <c r="C41" s="745" t="s">
        <v>148</v>
      </c>
      <c r="D41" s="353"/>
      <c r="E41" s="353"/>
      <c r="F41" s="83"/>
      <c r="G41" s="83"/>
      <c r="H41" s="353"/>
      <c r="I41" s="353"/>
      <c r="J41" s="353"/>
      <c r="K41" s="353"/>
      <c r="P41" s="289"/>
      <c r="Q41" s="353"/>
      <c r="R41" s="740" t="s">
        <v>167</v>
      </c>
      <c r="S41" s="740" t="s">
        <v>433</v>
      </c>
    </row>
    <row r="42" spans="1:21" ht="12.75" customHeight="1">
      <c r="A42" s="550">
        <f>+A36+1</f>
        <v>21</v>
      </c>
      <c r="C42" s="1" t="str">
        <f>"   Net Revenue Requirement  (TCOS, ln "&amp;'OKT TCOS'!B193&amp;")"</f>
        <v xml:space="preserve">   Net Revenue Requirement  (TCOS, ln 117)</v>
      </c>
      <c r="D42" s="828"/>
      <c r="E42" s="828"/>
      <c r="F42" s="799">
        <f>+'OKT TCOS'!L193</f>
        <v>118750671.40136826</v>
      </c>
      <c r="G42" s="799"/>
      <c r="H42" s="828"/>
      <c r="I42" s="828"/>
      <c r="J42" s="828"/>
      <c r="K42" s="828"/>
      <c r="L42" s="828"/>
      <c r="M42" s="828"/>
      <c r="N42" s="828"/>
      <c r="O42" s="828"/>
      <c r="P42" s="799"/>
      <c r="Q42" s="828"/>
      <c r="R42" s="740"/>
      <c r="S42" s="578"/>
    </row>
    <row r="43" spans="1:21" ht="13">
      <c r="A43" s="550">
        <f t="shared" si="0"/>
        <v>22</v>
      </c>
      <c r="C43" s="1" t="str">
        <f>"   Return  (TCOS, ln "&amp;'OKT TCOS'!B184&amp;")"</f>
        <v xml:space="preserve">   Return  (TCOS, ln 112)</v>
      </c>
      <c r="D43" s="828"/>
      <c r="E43" s="828"/>
      <c r="F43" s="786">
        <f>+'OKT TCOS'!L184</f>
        <v>53377644.85836409</v>
      </c>
      <c r="G43" s="786"/>
      <c r="H43" s="831"/>
      <c r="I43" s="831"/>
      <c r="J43" s="831"/>
      <c r="K43" s="831"/>
      <c r="L43" s="831"/>
      <c r="M43" s="831"/>
      <c r="N43" s="831"/>
      <c r="O43" s="831"/>
      <c r="P43" s="799"/>
      <c r="Q43" s="831"/>
      <c r="R43" s="740"/>
      <c r="S43" s="578"/>
    </row>
    <row r="44" spans="1:21" ht="13">
      <c r="A44" s="550">
        <f t="shared" si="0"/>
        <v>23</v>
      </c>
      <c r="C44" s="1" t="str">
        <f>"   Income Taxes  (TCOS, ln "&amp;'OKT TCOS'!B182&amp;")"</f>
        <v xml:space="preserve">   Income Taxes  (TCOS, ln 111)</v>
      </c>
      <c r="D44" s="828"/>
      <c r="E44" s="828"/>
      <c r="F44" s="799">
        <f>+'OKT TCOS'!L182</f>
        <v>14931225.278414734</v>
      </c>
      <c r="G44" s="799"/>
      <c r="H44" s="828"/>
      <c r="I44" s="828"/>
      <c r="J44" s="828"/>
      <c r="K44" s="828"/>
      <c r="L44" s="834"/>
      <c r="M44" s="834"/>
      <c r="N44" s="834"/>
      <c r="O44" s="834"/>
      <c r="P44" s="828"/>
      <c r="Q44" s="834"/>
      <c r="R44" s="746" t="s">
        <v>163</v>
      </c>
      <c r="S44" s="740" t="s">
        <v>70</v>
      </c>
    </row>
    <row r="45" spans="1:21" ht="13.5" thickBot="1">
      <c r="A45" s="550">
        <f t="shared" si="0"/>
        <v>24</v>
      </c>
      <c r="C45" s="1" t="str">
        <f>"  Gross Margin Taxes  (TCOS, ln "&amp;'OKT TCOS'!B191&amp;")"</f>
        <v xml:space="preserve">  Gross Margin Taxes  (TCOS, ln 116)</v>
      </c>
      <c r="D45" s="828"/>
      <c r="E45" s="828"/>
      <c r="F45" s="836">
        <f>+'OKT TCOS'!L191</f>
        <v>0</v>
      </c>
      <c r="G45" s="799"/>
      <c r="H45" s="828"/>
      <c r="I45" s="828"/>
      <c r="J45" s="828"/>
      <c r="K45" s="828"/>
      <c r="L45" s="834"/>
      <c r="M45" s="834"/>
      <c r="N45" s="834"/>
      <c r="O45" s="834"/>
      <c r="P45" s="828"/>
      <c r="Q45" s="834"/>
      <c r="R45" s="740" t="s">
        <v>434</v>
      </c>
    </row>
    <row r="46" spans="1:21">
      <c r="A46" s="550">
        <f t="shared" si="0"/>
        <v>25</v>
      </c>
      <c r="C46" s="599" t="s">
        <v>23</v>
      </c>
      <c r="D46" s="828"/>
      <c r="E46" s="828"/>
      <c r="F46" s="786">
        <f>F42-F43-F44-F45</f>
        <v>50441801.264589436</v>
      </c>
      <c r="G46" s="786"/>
      <c r="H46" s="784"/>
      <c r="I46" s="828"/>
      <c r="J46" s="828"/>
      <c r="K46" s="828"/>
      <c r="L46" s="784"/>
      <c r="M46" s="784"/>
      <c r="N46" s="784"/>
      <c r="O46" s="784"/>
      <c r="P46" s="784"/>
      <c r="Q46" s="784"/>
      <c r="R46" s="835">
        <v>36715956.554148674</v>
      </c>
      <c r="S46" s="497" t="str">
        <f>+L18&amp;" "&amp;N16</f>
        <v>∑ True Up Year Projected  WS-F   Rev Require</v>
      </c>
    </row>
    <row r="47" spans="1:21">
      <c r="A47" s="550"/>
      <c r="C47" s="1"/>
      <c r="D47" s="828"/>
      <c r="E47" s="828"/>
      <c r="F47" s="799"/>
      <c r="G47" s="799"/>
      <c r="H47" s="839"/>
      <c r="I47" s="840"/>
      <c r="J47" s="840"/>
      <c r="K47" s="840"/>
      <c r="L47" s="840"/>
      <c r="M47" s="840"/>
      <c r="N47" s="840"/>
      <c r="O47" s="840"/>
      <c r="P47" s="840"/>
      <c r="Q47" s="840"/>
      <c r="R47" s="837">
        <v>36715956.554148674</v>
      </c>
      <c r="S47" s="497" t="str">
        <f>+L18&amp;" "&amp;O16</f>
        <v>∑ True Up Year Projected  WS-F    With Incentives</v>
      </c>
    </row>
    <row r="48" spans="1:21" ht="15.5">
      <c r="A48" s="550"/>
      <c r="C48" s="745" t="str">
        <f>"B.   Determine Net Revenue Requirement with hypothetical "&amp;F12&amp;" basis point increase in ROE."</f>
        <v>B.   Determine Net Revenue Requirement with hypothetical 0 basis point increase in ROE.</v>
      </c>
      <c r="D48" s="751"/>
      <c r="E48" s="751"/>
      <c r="F48" s="799"/>
      <c r="G48" s="799"/>
      <c r="H48" s="839"/>
      <c r="I48" s="840"/>
      <c r="J48" s="840"/>
      <c r="K48" s="840"/>
      <c r="L48" s="840"/>
      <c r="M48" s="840"/>
      <c r="N48" s="840"/>
      <c r="O48" s="840"/>
      <c r="P48" s="840"/>
      <c r="Q48" s="840"/>
      <c r="R48" s="964">
        <v>39138830.897015929</v>
      </c>
      <c r="S48" s="497" t="str">
        <f>+L19&amp;" "&amp;N16</f>
        <v>∑ True-Up Year True-Up WS-G   Rev Require</v>
      </c>
    </row>
    <row r="49" spans="1:19" ht="13" thickBot="1">
      <c r="A49" s="550">
        <f>+A46+1</f>
        <v>26</v>
      </c>
      <c r="C49" s="1" t="str">
        <f>C46</f>
        <v xml:space="preserve">   Net Revenue Requirement, Less Return and Taxes</v>
      </c>
      <c r="D49" s="751"/>
      <c r="E49" s="751"/>
      <c r="F49" s="799">
        <f>F46</f>
        <v>50441801.264589436</v>
      </c>
      <c r="G49" s="799"/>
      <c r="H49" s="839"/>
      <c r="I49" s="840"/>
      <c r="J49" s="840"/>
      <c r="K49" s="840"/>
      <c r="L49" s="840"/>
      <c r="M49" s="840"/>
      <c r="N49" s="840"/>
      <c r="O49" s="840"/>
      <c r="P49" s="840"/>
      <c r="Q49" s="840"/>
      <c r="R49" s="965">
        <v>39138830.897015929</v>
      </c>
      <c r="S49" s="497" t="str">
        <f>+L19&amp;" "&amp;O16</f>
        <v>∑ True-Up Year True-Up WS-G    With Incentives</v>
      </c>
    </row>
    <row r="50" spans="1:19" ht="13">
      <c r="A50" s="550">
        <f t="shared" ref="A50:A56" si="1">+A49+1</f>
        <v>27</v>
      </c>
      <c r="C50" s="751" t="s">
        <v>385</v>
      </c>
      <c r="D50" s="842"/>
      <c r="E50" s="599"/>
      <c r="F50" s="843">
        <f>E25</f>
        <v>53377644.85836409</v>
      </c>
      <c r="G50" s="799"/>
      <c r="H50" s="828"/>
      <c r="I50" s="828"/>
      <c r="J50" s="828"/>
      <c r="K50" s="828"/>
      <c r="L50" s="828"/>
      <c r="M50" s="828"/>
      <c r="N50" s="828"/>
      <c r="O50" s="828"/>
      <c r="P50" s="841"/>
      <c r="Q50" s="828"/>
    </row>
    <row r="51" spans="1:19">
      <c r="A51" s="550">
        <f t="shared" si="1"/>
        <v>28</v>
      </c>
      <c r="C51" s="1" t="s">
        <v>378</v>
      </c>
      <c r="D51" s="828"/>
      <c r="E51" s="828"/>
      <c r="F51" s="844">
        <f>F36</f>
        <v>14931225.278414734</v>
      </c>
      <c r="G51" s="843"/>
      <c r="H51" s="599"/>
      <c r="I51" s="600"/>
      <c r="J51" s="600"/>
      <c r="K51" s="600"/>
      <c r="L51" s="599"/>
      <c r="M51" s="599"/>
      <c r="N51" s="599"/>
      <c r="O51" s="599"/>
      <c r="P51" s="599"/>
    </row>
    <row r="52" spans="1:19" ht="12.75" customHeight="1">
      <c r="A52" s="550">
        <f t="shared" si="1"/>
        <v>29</v>
      </c>
      <c r="C52" s="599" t="str">
        <f>"   Net Revenue Requirement, with "&amp;F12&amp;" Basis Point ROE increase"</f>
        <v xml:space="preserve">   Net Revenue Requirement, with 0 Basis Point ROE increase</v>
      </c>
      <c r="F52" s="821">
        <f>SUM(F49:F51)</f>
        <v>118750671.40136826</v>
      </c>
      <c r="G52" s="845"/>
    </row>
    <row r="53" spans="1:19">
      <c r="A53" s="550">
        <f t="shared" si="1"/>
        <v>30</v>
      </c>
      <c r="C53" s="824" t="str">
        <f>"   Gross Margin Tax with "&amp;F87&amp;" Basis Point ROE Increase (II C. below)"</f>
        <v xml:space="preserve">   Gross Margin Tax with  Basis Point ROE Increase (II C. below)</v>
      </c>
      <c r="D53" s="673"/>
      <c r="E53" s="673"/>
      <c r="F53" s="846">
        <f>+F68</f>
        <v>0</v>
      </c>
      <c r="G53" s="821"/>
    </row>
    <row r="54" spans="1:19">
      <c r="A54" s="550">
        <f t="shared" si="1"/>
        <v>31</v>
      </c>
      <c r="C54" s="599" t="s">
        <v>24</v>
      </c>
      <c r="F54" s="843">
        <f>+F52+F53</f>
        <v>118750671.40136826</v>
      </c>
      <c r="G54" s="843"/>
    </row>
    <row r="55" spans="1:19">
      <c r="A55" s="550">
        <f t="shared" si="1"/>
        <v>32</v>
      </c>
      <c r="C55" s="1" t="str">
        <f>"   Less: Depreciation  (TCOS, ln "&amp;'OKT TCOS'!B153&amp;")"</f>
        <v xml:space="preserve">   Less: Depreciation  (TCOS, ln 86)</v>
      </c>
      <c r="F55" s="847">
        <f>+'OKT TCOS'!L153</f>
        <v>27192293.600820702</v>
      </c>
      <c r="G55" s="843"/>
    </row>
    <row r="56" spans="1:19">
      <c r="A56" s="550">
        <f t="shared" si="1"/>
        <v>33</v>
      </c>
      <c r="C56" s="599" t="str">
        <f>"   Net Rev. Req, w/"&amp;F12&amp;" Basis Point ROE increase, less Depreciation"</f>
        <v xml:space="preserve">   Net Rev. Req, w/0 Basis Point ROE increase, less Depreciation</v>
      </c>
      <c r="F56" s="821">
        <f>F54-F55</f>
        <v>91558377.800547555</v>
      </c>
      <c r="G56" s="847"/>
    </row>
    <row r="57" spans="1:19">
      <c r="A57" s="550"/>
      <c r="G57" s="821"/>
    </row>
    <row r="58" spans="1:19" ht="15.5">
      <c r="A58" s="550"/>
      <c r="C58" s="745" t="str">
        <f>"C.   Determine Gross Margin Tax with hypothetical "&amp;F12&amp;" basis point increase in ROE."</f>
        <v>C.   Determine Gross Margin Tax with hypothetical 0 basis point increase in ROE.</v>
      </c>
      <c r="D58" s="673"/>
      <c r="E58" s="673"/>
      <c r="F58" s="821"/>
    </row>
    <row r="59" spans="1:19">
      <c r="A59" s="550">
        <f>+A56+1</f>
        <v>34</v>
      </c>
      <c r="C59" s="824" t="str">
        <f>"   Net Revenue Requirement before Gross Margin Taxes, with "&amp;F12&amp;" "</f>
        <v xml:space="preserve">   Net Revenue Requirement before Gross Margin Taxes, with 0 </v>
      </c>
      <c r="D59" s="673"/>
      <c r="E59" s="673"/>
      <c r="F59" s="821">
        <f>+F52</f>
        <v>118750671.40136826</v>
      </c>
      <c r="G59" s="821"/>
    </row>
    <row r="60" spans="1:19">
      <c r="A60" s="550">
        <f t="shared" ref="A60:A68" si="2">+A59+1</f>
        <v>35</v>
      </c>
      <c r="C60" s="824" t="s">
        <v>25</v>
      </c>
      <c r="D60" s="673"/>
      <c r="E60" s="673"/>
      <c r="F60" s="821"/>
      <c r="G60" s="821"/>
    </row>
    <row r="61" spans="1:19">
      <c r="A61" s="550">
        <f t="shared" si="2"/>
        <v>36</v>
      </c>
      <c r="C61" s="599" t="str">
        <f>"       Apportionment Factor to Texas (Worksheet K, ln "&amp;'OKT WS K State Taxes'!A53&amp;")"</f>
        <v xml:space="preserve">       Apportionment Factor to Texas (Worksheet K, ln 12)</v>
      </c>
      <c r="F61" s="848">
        <f>+'OKT WS K State Taxes'!E53</f>
        <v>0</v>
      </c>
      <c r="G61" s="821"/>
    </row>
    <row r="62" spans="1:19">
      <c r="A62" s="550">
        <f t="shared" si="2"/>
        <v>37</v>
      </c>
      <c r="C62" s="599" t="s">
        <v>26</v>
      </c>
      <c r="F62" s="821">
        <f>+F61*F59</f>
        <v>0</v>
      </c>
      <c r="G62" s="820"/>
    </row>
    <row r="63" spans="1:19">
      <c r="A63" s="550">
        <f t="shared" si="2"/>
        <v>38</v>
      </c>
      <c r="C63" s="599" t="s">
        <v>674</v>
      </c>
      <c r="F63" s="849">
        <v>0.22</v>
      </c>
      <c r="G63" s="821"/>
    </row>
    <row r="64" spans="1:19">
      <c r="A64" s="550">
        <f t="shared" si="2"/>
        <v>39</v>
      </c>
      <c r="C64" s="599" t="s">
        <v>27</v>
      </c>
      <c r="F64" s="821">
        <f>+F62*F63</f>
        <v>0</v>
      </c>
      <c r="G64" s="850"/>
    </row>
    <row r="65" spans="1:8">
      <c r="A65" s="550">
        <f t="shared" si="2"/>
        <v>40</v>
      </c>
      <c r="C65" s="599" t="s">
        <v>28</v>
      </c>
      <c r="F65" s="849">
        <v>0.01</v>
      </c>
      <c r="G65" s="821"/>
    </row>
    <row r="66" spans="1:8">
      <c r="A66" s="550">
        <f t="shared" si="2"/>
        <v>41</v>
      </c>
      <c r="C66" s="599" t="s">
        <v>29</v>
      </c>
      <c r="F66" s="821">
        <f>+F64*F65</f>
        <v>0</v>
      </c>
      <c r="G66" s="850"/>
    </row>
    <row r="67" spans="1:8">
      <c r="A67" s="550">
        <f t="shared" si="2"/>
        <v>42</v>
      </c>
      <c r="C67" s="599" t="s">
        <v>30</v>
      </c>
      <c r="F67" s="851">
        <f>+ROUND((F66*F63*F61)/(1-F65)*F65,0)</f>
        <v>0</v>
      </c>
      <c r="G67" s="821"/>
    </row>
    <row r="68" spans="1:8">
      <c r="A68" s="550">
        <f t="shared" si="2"/>
        <v>43</v>
      </c>
      <c r="C68" s="599" t="s">
        <v>31</v>
      </c>
      <c r="F68" s="821">
        <f>+F66+F67</f>
        <v>0</v>
      </c>
      <c r="G68" s="695"/>
    </row>
    <row r="69" spans="1:8">
      <c r="A69" s="550"/>
      <c r="G69" s="821"/>
    </row>
    <row r="70" spans="1:8" ht="15.5">
      <c r="A70" s="550"/>
      <c r="C70" s="745" t="str">
        <f>"D.   Determine FCR with hypothetical "&amp;F12&amp;" basis point ROE increase."</f>
        <v>D.   Determine FCR with hypothetical 0 basis point ROE increase.</v>
      </c>
    </row>
    <row r="71" spans="1:8">
      <c r="A71" s="550">
        <f>+A68+1</f>
        <v>44</v>
      </c>
      <c r="C71" s="1" t="str">
        <f>"   Net Transmission Plant  (TCOS, ln "&amp;'OKT TCOS'!B79&amp;")"</f>
        <v xml:space="preserve">   Net Transmission Plant  (TCOS, ln 37)</v>
      </c>
      <c r="F71" s="821">
        <f>+'OKT TCOS'!L79</f>
        <v>847690343.26246154</v>
      </c>
    </row>
    <row r="72" spans="1:8" ht="14">
      <c r="A72" s="550">
        <f>+A71+1</f>
        <v>45</v>
      </c>
      <c r="C72" s="599" t="str">
        <f>"   Net Revenue Requirement, with "&amp;F12&amp;" Basis Point ROE increase"</f>
        <v xml:space="preserve">   Net Revenue Requirement, with 0 Basis Point ROE increase</v>
      </c>
      <c r="F72" s="852">
        <f>+F54</f>
        <v>118750671.40136826</v>
      </c>
      <c r="G72" s="821"/>
    </row>
    <row r="73" spans="1:8" ht="14">
      <c r="A73" s="550">
        <f>+A72+1</f>
        <v>46</v>
      </c>
      <c r="C73" s="599" t="str">
        <f>"   FCR with "&amp;F12&amp;" Basis Point increase in ROE"</f>
        <v xml:space="preserve">   FCR with 0 Basis Point increase in ROE</v>
      </c>
      <c r="F73" s="762">
        <f>IF(F71=0,0,F72/F71)</f>
        <v>0.14008732356716339</v>
      </c>
      <c r="G73" s="852"/>
    </row>
    <row r="74" spans="1:8">
      <c r="A74" s="550"/>
      <c r="G74" s="762"/>
    </row>
    <row r="75" spans="1:8">
      <c r="A75" s="550">
        <f>+A73+1</f>
        <v>47</v>
      </c>
      <c r="C75" s="599" t="str">
        <f>"   Net Rev. Req, w / "&amp;F12&amp;" Basis Point ROE increase, less Dep."</f>
        <v xml:space="preserve">   Net Rev. Req, w / 0 Basis Point ROE increase, less Dep.</v>
      </c>
      <c r="F75" s="821">
        <f>+F56</f>
        <v>91558377.800547555</v>
      </c>
      <c r="H75" s="762"/>
    </row>
    <row r="76" spans="1:8">
      <c r="A76" s="550">
        <f t="shared" ref="A76:A85" si="3">+A75+1</f>
        <v>48</v>
      </c>
      <c r="C76" s="599" t="str">
        <f>"   FCR with "&amp;F12&amp;" Basis Point ROE increase, less Depreciation"</f>
        <v xml:space="preserve">   FCR with 0 Basis Point ROE increase, less Depreciation</v>
      </c>
      <c r="F76" s="762">
        <f>IF(F71=0,0,F75/F71)</f>
        <v>0.10800922592579221</v>
      </c>
      <c r="G76" s="821"/>
    </row>
    <row r="77" spans="1:8">
      <c r="A77" s="550">
        <f t="shared" si="3"/>
        <v>49</v>
      </c>
      <c r="C77" s="1" t="str">
        <f>"   FCR less Depreciation  (TCOS, ln "&amp;'OKT TCOS'!B30&amp;")"</f>
        <v xml:space="preserve">   FCR less Depreciation  (TCOS, ln 10)</v>
      </c>
      <c r="F77" s="853">
        <f>+'OKT TCOS'!L30</f>
        <v>0.10800922592579221</v>
      </c>
      <c r="G77" s="762"/>
      <c r="H77" s="821"/>
    </row>
    <row r="78" spans="1:8">
      <c r="A78" s="550">
        <f t="shared" si="3"/>
        <v>50</v>
      </c>
      <c r="C78" s="599" t="str">
        <f>"   Incremental FCR with "&amp;F12&amp;" Basis Point ROE increase, less Depreciation"</f>
        <v xml:space="preserve">   Incremental FCR with 0 Basis Point ROE increase, less Depreciation</v>
      </c>
      <c r="F78" s="762">
        <f>F76-F77</f>
        <v>0</v>
      </c>
      <c r="G78" s="853"/>
      <c r="H78" s="854"/>
    </row>
    <row r="79" spans="1:8">
      <c r="A79" s="550"/>
      <c r="C79" s="599"/>
      <c r="F79" s="762"/>
      <c r="G79" s="762"/>
    </row>
    <row r="80" spans="1:8" ht="18">
      <c r="A80" s="550"/>
      <c r="B80" s="743" t="s">
        <v>311</v>
      </c>
      <c r="C80" s="741" t="s">
        <v>379</v>
      </c>
      <c r="F80" s="762"/>
      <c r="G80" s="762"/>
    </row>
    <row r="81" spans="1:16" ht="12.75" customHeight="1">
      <c r="A81" s="550">
        <f>+A78+1</f>
        <v>51</v>
      </c>
      <c r="C81" s="599" t="str">
        <f>"Transmission Plant Average Balance for "&amp;'OKT TCOS'!$N$2&amp;" (WS A-1 Ln "&amp;'OKT WS A-1 - Plant'!A24&amp;" Col "&amp;'OKT WS A-1 - Plant'!E9&amp;")"</f>
        <v>Transmission Plant Average Balance for 2019 (WS A-1 Ln 14 Col (d))</v>
      </c>
      <c r="F81" s="600">
        <f>+'OKT WS A-1 - Plant'!E24</f>
        <v>997294681.76923072</v>
      </c>
      <c r="G81" s="553"/>
    </row>
    <row r="82" spans="1:16">
      <c r="A82" s="550">
        <f t="shared" si="3"/>
        <v>52</v>
      </c>
      <c r="C82" s="1" t="str">
        <f>"Annual Depreciation Expense  (TCOS, ln "&amp;'OKT TCOS'!B153&amp;")"</f>
        <v>Annual Depreciation Expense  (TCOS, ln 86)</v>
      </c>
      <c r="F82" s="600">
        <f>+'OKT TCOS'!G153</f>
        <v>29216936</v>
      </c>
      <c r="G82" s="600"/>
    </row>
    <row r="83" spans="1:16">
      <c r="A83" s="550">
        <f t="shared" si="3"/>
        <v>53</v>
      </c>
      <c r="C83" s="599" t="s">
        <v>380</v>
      </c>
      <c r="F83" s="762">
        <f>IF(F81=0,0,F82/F81)</f>
        <v>2.9296191521013908E-2</v>
      </c>
      <c r="G83" s="600"/>
    </row>
    <row r="84" spans="1:16">
      <c r="A84" s="550">
        <f t="shared" si="3"/>
        <v>54</v>
      </c>
      <c r="C84" s="599" t="s">
        <v>381</v>
      </c>
      <c r="F84" s="855">
        <f>IF(F83=0,0,1/F83)</f>
        <v>34.134129662646032</v>
      </c>
      <c r="G84" s="762"/>
      <c r="I84" s="552"/>
      <c r="J84" s="552"/>
      <c r="K84" s="552"/>
    </row>
    <row r="85" spans="1:16">
      <c r="A85" s="550">
        <f t="shared" si="3"/>
        <v>55</v>
      </c>
      <c r="C85" s="599" t="s">
        <v>382</v>
      </c>
      <c r="F85" s="594">
        <f>ROUND(F84,0)</f>
        <v>34</v>
      </c>
      <c r="G85" s="855"/>
    </row>
    <row r="86" spans="1:16">
      <c r="A86" s="550"/>
      <c r="C86" s="1"/>
      <c r="D86" s="751"/>
      <c r="E86" s="751"/>
      <c r="F86" s="799"/>
      <c r="G86" s="594"/>
    </row>
    <row r="87" spans="1:16">
      <c r="C87" s="599"/>
      <c r="F87" s="594"/>
      <c r="G87" s="594"/>
    </row>
    <row r="89" spans="1:16" ht="20">
      <c r="A89" s="966" t="str">
        <f>"Worksheet G  --  "&amp;'OKT TCOS'!F8&amp;"--  Calculation of Trued-Up ARR for SPP Base Plan Upgrade Projects"</f>
        <v>Worksheet G  --  AEP OKLAHOMA TRANSMISSION COMPANY, INC.--  Calculation of Trued-Up ARR for SPP Base Plan Upgrade Projects</v>
      </c>
      <c r="B89" s="833"/>
      <c r="C89" s="967"/>
      <c r="D89" s="968"/>
      <c r="E89" s="833"/>
      <c r="F89" s="969"/>
      <c r="G89" s="969"/>
      <c r="H89" s="833"/>
      <c r="I89" s="859"/>
      <c r="J89" s="833"/>
      <c r="K89" s="970"/>
      <c r="L89" s="971"/>
      <c r="M89" s="971"/>
      <c r="N89" s="833"/>
      <c r="O89" s="833"/>
      <c r="P89" s="971"/>
    </row>
    <row r="90" spans="1:16" ht="17.5">
      <c r="A90" s="833"/>
      <c r="B90" s="833"/>
      <c r="C90" s="833"/>
      <c r="D90" s="968"/>
      <c r="E90" s="833"/>
      <c r="F90" s="833"/>
      <c r="G90" s="833"/>
      <c r="H90" s="833"/>
      <c r="I90" s="859"/>
      <c r="J90" s="833"/>
      <c r="K90" s="970"/>
      <c r="L90" s="833"/>
      <c r="M90" s="833"/>
      <c r="N90" s="833"/>
      <c r="O90" s="833"/>
      <c r="P90" s="972"/>
    </row>
    <row r="91" spans="1:16" ht="17.5" thickBot="1">
      <c r="A91" s="833"/>
      <c r="B91" s="973" t="s">
        <v>312</v>
      </c>
      <c r="C91" s="974" t="s">
        <v>481</v>
      </c>
      <c r="D91" s="968"/>
      <c r="E91" s="833"/>
      <c r="F91" s="833"/>
      <c r="G91" s="833"/>
      <c r="H91" s="833"/>
      <c r="I91" s="859"/>
      <c r="J91" s="859"/>
      <c r="K91" s="864"/>
      <c r="L91" s="859"/>
      <c r="M91" s="859"/>
      <c r="N91" s="859"/>
      <c r="O91" s="864"/>
      <c r="P91" s="833"/>
    </row>
    <row r="92" spans="1:16" ht="16" thickBot="1">
      <c r="A92" s="833"/>
      <c r="B92" s="833"/>
      <c r="C92" s="317"/>
      <c r="D92" s="968"/>
      <c r="E92" s="833"/>
      <c r="F92" s="833"/>
      <c r="G92" s="833"/>
      <c r="H92" s="833"/>
      <c r="I92" s="859"/>
      <c r="J92" s="859"/>
      <c r="K92" s="864"/>
      <c r="L92" s="975">
        <f>+M17</f>
        <v>2019</v>
      </c>
      <c r="M92" s="976" t="s">
        <v>370</v>
      </c>
      <c r="N92" s="977" t="s">
        <v>482</v>
      </c>
      <c r="O92" s="978" t="s">
        <v>371</v>
      </c>
      <c r="P92" s="833"/>
    </row>
    <row r="93" spans="1:16" ht="15.5">
      <c r="A93" s="833"/>
      <c r="B93" s="833"/>
      <c r="C93" s="832" t="s">
        <v>445</v>
      </c>
      <c r="D93" s="968"/>
      <c r="E93" s="833"/>
      <c r="F93" s="833"/>
      <c r="G93" s="833"/>
      <c r="H93" s="867"/>
      <c r="I93" s="979"/>
      <c r="J93" s="833"/>
      <c r="K93" s="980"/>
      <c r="L93" s="981" t="s">
        <v>494</v>
      </c>
      <c r="M93" s="982"/>
      <c r="N93" s="982"/>
      <c r="O93" s="983">
        <v>0</v>
      </c>
      <c r="P93" s="833"/>
    </row>
    <row r="94" spans="1:16" ht="15.5">
      <c r="A94" s="833"/>
      <c r="B94" s="833"/>
      <c r="C94" s="984"/>
      <c r="D94" s="968"/>
      <c r="E94" s="833"/>
      <c r="F94" s="833"/>
      <c r="G94" s="833"/>
      <c r="H94" s="833"/>
      <c r="I94" s="874"/>
      <c r="J94" s="874"/>
      <c r="K94" s="985"/>
      <c r="L94" s="986" t="s">
        <v>495</v>
      </c>
      <c r="M94" s="987"/>
      <c r="N94" s="987"/>
      <c r="O94" s="988">
        <v>0</v>
      </c>
      <c r="P94" s="833"/>
    </row>
    <row r="95" spans="1:16" ht="13.5" thickBot="1">
      <c r="A95" s="833"/>
      <c r="B95" s="833"/>
      <c r="C95" s="989" t="s">
        <v>483</v>
      </c>
      <c r="D95" s="879"/>
      <c r="E95" s="879"/>
      <c r="F95" s="833"/>
      <c r="G95" s="833"/>
      <c r="H95" s="833"/>
      <c r="I95" s="859"/>
      <c r="J95" s="859"/>
      <c r="K95" s="932"/>
      <c r="L95" s="990" t="s">
        <v>484</v>
      </c>
      <c r="M95" s="991"/>
      <c r="N95" s="991"/>
      <c r="O95" s="992">
        <v>0</v>
      </c>
      <c r="P95" s="833"/>
    </row>
    <row r="96" spans="1:16" ht="13.5" thickBot="1">
      <c r="A96" s="833"/>
      <c r="B96" s="833"/>
      <c r="C96" s="989"/>
      <c r="D96" s="993" t="s">
        <v>336</v>
      </c>
      <c r="E96" s="994"/>
      <c r="F96" s="994"/>
      <c r="G96" s="994"/>
      <c r="H96" s="995"/>
      <c r="I96" s="859"/>
      <c r="J96" s="859"/>
      <c r="K96" s="864"/>
      <c r="L96" s="859"/>
      <c r="M96" s="859"/>
      <c r="N96" s="859"/>
      <c r="O96" s="864"/>
      <c r="P96" s="833"/>
    </row>
    <row r="97" spans="1:16" ht="13.5" thickBot="1">
      <c r="A97" s="54"/>
      <c r="B97" s="833"/>
      <c r="C97" s="996" t="s">
        <v>485</v>
      </c>
      <c r="D97" s="885"/>
      <c r="E97" s="886" t="s">
        <v>639</v>
      </c>
      <c r="F97" s="997"/>
      <c r="G97" s="997"/>
      <c r="H97" s="997"/>
      <c r="I97" s="997"/>
      <c r="J97" s="997"/>
      <c r="K97" s="998"/>
      <c r="L97" s="833"/>
      <c r="M97" s="833"/>
      <c r="N97" s="833"/>
      <c r="O97" s="833"/>
      <c r="P97" s="999"/>
    </row>
    <row r="98" spans="1:16" ht="15.5">
      <c r="A98" s="833"/>
      <c r="B98" s="833"/>
      <c r="C98" s="1000" t="s">
        <v>449</v>
      </c>
      <c r="D98" s="1001"/>
      <c r="E98" s="967" t="s">
        <v>125</v>
      </c>
      <c r="F98" s="833"/>
      <c r="G98" s="833"/>
      <c r="H98" s="1002"/>
      <c r="I98" s="1002"/>
      <c r="J98" s="1003">
        <f>+M17</f>
        <v>2019</v>
      </c>
      <c r="K98" s="1004"/>
      <c r="L98" s="864" t="s">
        <v>486</v>
      </c>
      <c r="M98" s="833"/>
      <c r="N98" s="833"/>
      <c r="O98" s="833"/>
      <c r="P98" s="970"/>
    </row>
    <row r="99" spans="1:16" ht="15.5">
      <c r="A99" s="833"/>
      <c r="B99" s="833"/>
      <c r="C99" s="1005" t="s">
        <v>451</v>
      </c>
      <c r="D99" s="1006"/>
      <c r="E99" s="1005" t="s">
        <v>452</v>
      </c>
      <c r="F99" s="1002"/>
      <c r="G99" s="1002"/>
      <c r="H99" s="833"/>
      <c r="I99" s="833"/>
      <c r="J99" s="1007">
        <v>0</v>
      </c>
      <c r="K99" s="1008"/>
      <c r="L99" s="833" t="s">
        <v>488</v>
      </c>
      <c r="M99" s="833"/>
      <c r="N99" s="833"/>
      <c r="O99" s="833"/>
      <c r="P99" s="970"/>
    </row>
    <row r="100" spans="1:16" ht="15.5">
      <c r="A100" s="833"/>
      <c r="B100" s="833"/>
      <c r="C100" s="1005" t="s">
        <v>453</v>
      </c>
      <c r="D100" s="1006"/>
      <c r="E100" s="1005" t="s">
        <v>454</v>
      </c>
      <c r="F100" s="1002"/>
      <c r="G100" s="1002"/>
      <c r="H100" s="833"/>
      <c r="I100" s="833"/>
      <c r="J100" s="1009">
        <f>+F77</f>
        <v>0.10800922592579221</v>
      </c>
      <c r="K100" s="1010"/>
      <c r="L100" s="833" t="s">
        <v>489</v>
      </c>
      <c r="M100" s="833"/>
      <c r="N100" s="833"/>
      <c r="O100" s="833"/>
      <c r="P100" s="970"/>
    </row>
    <row r="101" spans="1:16" ht="15.5">
      <c r="A101" s="833"/>
      <c r="B101" s="833"/>
      <c r="C101" s="1005" t="s">
        <v>456</v>
      </c>
      <c r="D101" s="1006"/>
      <c r="E101" s="1005" t="s">
        <v>457</v>
      </c>
      <c r="F101" s="1002"/>
      <c r="G101" s="1002"/>
      <c r="H101" s="833"/>
      <c r="I101" s="833"/>
      <c r="J101" s="898">
        <f>IF(H93="",J100,F76)</f>
        <v>0.10800922592579221</v>
      </c>
      <c r="K101" s="1011"/>
      <c r="L101" s="864" t="s">
        <v>458</v>
      </c>
      <c r="M101" s="1011"/>
      <c r="N101" s="1011"/>
      <c r="O101" s="1011"/>
      <c r="P101" s="970"/>
    </row>
    <row r="102" spans="1:16" ht="16" thickBot="1">
      <c r="A102" s="833"/>
      <c r="B102" s="833"/>
      <c r="C102" s="1005" t="s">
        <v>459</v>
      </c>
      <c r="D102" s="1006"/>
      <c r="E102" s="1012" t="s">
        <v>460</v>
      </c>
      <c r="F102" s="1013"/>
      <c r="G102" s="1013"/>
      <c r="H102" s="1014"/>
      <c r="I102" s="1014"/>
      <c r="J102" s="882"/>
      <c r="K102" s="864"/>
      <c r="L102" s="864"/>
      <c r="M102" s="864"/>
      <c r="N102" s="864"/>
      <c r="O102" s="864"/>
      <c r="P102" s="970"/>
    </row>
    <row r="103" spans="1:16" ht="39">
      <c r="A103" s="1015"/>
      <c r="B103" s="1015"/>
      <c r="C103" s="1016" t="s">
        <v>383</v>
      </c>
      <c r="D103" s="907" t="s">
        <v>461</v>
      </c>
      <c r="E103" s="907" t="s">
        <v>462</v>
      </c>
      <c r="F103" s="907" t="s">
        <v>463</v>
      </c>
      <c r="G103" s="1017" t="s">
        <v>179</v>
      </c>
      <c r="H103" s="1018" t="s">
        <v>490</v>
      </c>
      <c r="I103" s="1018" t="s">
        <v>465</v>
      </c>
      <c r="J103" s="1016" t="s">
        <v>491</v>
      </c>
      <c r="K103" s="1019"/>
      <c r="L103" s="908" t="s">
        <v>492</v>
      </c>
      <c r="M103" s="908" t="s">
        <v>493</v>
      </c>
      <c r="N103" s="908" t="s">
        <v>492</v>
      </c>
      <c r="O103" s="908" t="s">
        <v>493</v>
      </c>
      <c r="P103" s="908" t="s">
        <v>469</v>
      </c>
    </row>
    <row r="104" spans="1:16" ht="13.5" thickBot="1">
      <c r="A104" s="833"/>
      <c r="B104" s="833"/>
      <c r="C104" s="1020" t="s">
        <v>470</v>
      </c>
      <c r="D104" s="1021" t="s">
        <v>315</v>
      </c>
      <c r="E104" s="1022" t="s">
        <v>214</v>
      </c>
      <c r="F104" s="1022" t="s">
        <v>315</v>
      </c>
      <c r="G104" s="1022" t="s">
        <v>315</v>
      </c>
      <c r="H104" s="916" t="s">
        <v>471</v>
      </c>
      <c r="I104" s="911" t="s">
        <v>472</v>
      </c>
      <c r="J104" s="1022" t="s">
        <v>632</v>
      </c>
      <c r="K104" s="1023"/>
      <c r="L104" s="915" t="s">
        <v>474</v>
      </c>
      <c r="M104" s="915" t="s">
        <v>474</v>
      </c>
      <c r="N104" s="915" t="s">
        <v>633</v>
      </c>
      <c r="O104" s="915" t="s">
        <v>633</v>
      </c>
      <c r="P104" s="915" t="s">
        <v>633</v>
      </c>
    </row>
    <row r="105" spans="1:16">
      <c r="A105" s="833"/>
      <c r="B105" s="833"/>
      <c r="C105" s="1024" t="s">
        <v>487</v>
      </c>
      <c r="D105" s="1025">
        <v>0</v>
      </c>
      <c r="E105" s="926">
        <v>0</v>
      </c>
      <c r="F105" s="1026">
        <v>0</v>
      </c>
      <c r="G105" s="1027">
        <v>0</v>
      </c>
      <c r="H105" s="1028">
        <v>0</v>
      </c>
      <c r="I105" s="1029">
        <v>0</v>
      </c>
      <c r="J105" s="1030">
        <v>0</v>
      </c>
      <c r="K105" s="1030"/>
      <c r="L105" s="1031"/>
      <c r="M105" s="1032">
        <v>0</v>
      </c>
      <c r="N105" s="1031"/>
      <c r="O105" s="1032">
        <v>0</v>
      </c>
      <c r="P105" s="1032">
        <v>0</v>
      </c>
    </row>
    <row r="106" spans="1:16">
      <c r="A106" s="833"/>
      <c r="B106" s="968"/>
      <c r="C106" s="1024">
        <v>2014</v>
      </c>
      <c r="D106" s="1025">
        <v>0</v>
      </c>
      <c r="E106" s="926">
        <v>0</v>
      </c>
      <c r="F106" s="1026">
        <v>0</v>
      </c>
      <c r="G106" s="1026">
        <v>0</v>
      </c>
      <c r="H106" s="929">
        <v>0</v>
      </c>
      <c r="I106" s="1033">
        <v>0</v>
      </c>
      <c r="J106" s="1030">
        <v>0</v>
      </c>
      <c r="K106" s="1030"/>
      <c r="L106" s="1034"/>
      <c r="M106" s="1030">
        <v>0</v>
      </c>
      <c r="N106" s="1034"/>
      <c r="O106" s="1030">
        <v>0</v>
      </c>
      <c r="P106" s="1030">
        <v>0</v>
      </c>
    </row>
    <row r="107" spans="1:16">
      <c r="A107" s="833"/>
      <c r="B107" s="968" t="s">
        <v>336</v>
      </c>
      <c r="C107" s="1024">
        <v>2015</v>
      </c>
      <c r="D107" s="1025">
        <v>0</v>
      </c>
      <c r="E107" s="926">
        <v>0</v>
      </c>
      <c r="F107" s="1026">
        <v>0</v>
      </c>
      <c r="G107" s="1026">
        <v>0</v>
      </c>
      <c r="H107" s="929">
        <v>0</v>
      </c>
      <c r="I107" s="1033">
        <v>0</v>
      </c>
      <c r="J107" s="1030">
        <v>0</v>
      </c>
      <c r="K107" s="1030"/>
      <c r="L107" s="1034"/>
      <c r="M107" s="1030">
        <v>0</v>
      </c>
      <c r="N107" s="1034"/>
      <c r="O107" s="1030">
        <v>0</v>
      </c>
      <c r="P107" s="1030">
        <v>0</v>
      </c>
    </row>
    <row r="108" spans="1:16">
      <c r="A108" s="833"/>
      <c r="B108" s="968" t="s">
        <v>336</v>
      </c>
      <c r="C108" s="1024">
        <v>2016</v>
      </c>
      <c r="D108" s="1025">
        <v>0</v>
      </c>
      <c r="E108" s="926">
        <v>0</v>
      </c>
      <c r="F108" s="1026">
        <v>0</v>
      </c>
      <c r="G108" s="1026">
        <v>0</v>
      </c>
      <c r="H108" s="929">
        <v>0</v>
      </c>
      <c r="I108" s="1033">
        <v>0</v>
      </c>
      <c r="J108" s="1030">
        <v>0</v>
      </c>
      <c r="K108" s="1030"/>
      <c r="L108" s="1034"/>
      <c r="M108" s="1030">
        <v>0</v>
      </c>
      <c r="N108" s="1034"/>
      <c r="O108" s="1030">
        <v>0</v>
      </c>
      <c r="P108" s="1030">
        <v>0</v>
      </c>
    </row>
    <row r="109" spans="1:16">
      <c r="A109" s="833"/>
      <c r="B109" s="968" t="s">
        <v>336</v>
      </c>
      <c r="C109" s="1024">
        <v>2017</v>
      </c>
      <c r="D109" s="1025">
        <v>0</v>
      </c>
      <c r="E109" s="926">
        <v>0</v>
      </c>
      <c r="F109" s="1026">
        <v>0</v>
      </c>
      <c r="G109" s="1026">
        <v>0</v>
      </c>
      <c r="H109" s="929">
        <v>0</v>
      </c>
      <c r="I109" s="1033">
        <v>0</v>
      </c>
      <c r="J109" s="1030">
        <v>0</v>
      </c>
      <c r="K109" s="1030"/>
      <c r="L109" s="1034"/>
      <c r="M109" s="1030">
        <v>0</v>
      </c>
      <c r="N109" s="1034"/>
      <c r="O109" s="1030">
        <v>0</v>
      </c>
      <c r="P109" s="1030">
        <v>0</v>
      </c>
    </row>
    <row r="110" spans="1:16">
      <c r="A110" s="833"/>
      <c r="B110" s="968" t="s">
        <v>336</v>
      </c>
      <c r="C110" s="1024">
        <v>2018</v>
      </c>
      <c r="D110" s="1025">
        <v>0</v>
      </c>
      <c r="E110" s="926">
        <v>0</v>
      </c>
      <c r="F110" s="1026">
        <v>0</v>
      </c>
      <c r="G110" s="1026">
        <v>0</v>
      </c>
      <c r="H110" s="929">
        <v>0</v>
      </c>
      <c r="I110" s="1033">
        <v>0</v>
      </c>
      <c r="J110" s="1030">
        <v>0</v>
      </c>
      <c r="K110" s="1030"/>
      <c r="L110" s="1034"/>
      <c r="M110" s="1030">
        <v>0</v>
      </c>
      <c r="N110" s="1034"/>
      <c r="O110" s="1030">
        <v>0</v>
      </c>
      <c r="P110" s="1030">
        <v>0</v>
      </c>
    </row>
    <row r="111" spans="1:16">
      <c r="A111" s="833"/>
      <c r="B111" s="968" t="s">
        <v>336</v>
      </c>
      <c r="C111" s="1024">
        <v>2019</v>
      </c>
      <c r="D111" s="1025">
        <v>0</v>
      </c>
      <c r="E111" s="926">
        <v>0</v>
      </c>
      <c r="F111" s="1026">
        <v>0</v>
      </c>
      <c r="G111" s="1026">
        <v>0</v>
      </c>
      <c r="H111" s="929">
        <v>0</v>
      </c>
      <c r="I111" s="1033">
        <v>0</v>
      </c>
      <c r="J111" s="1030">
        <v>0</v>
      </c>
      <c r="K111" s="1030"/>
      <c r="L111" s="1034"/>
      <c r="M111" s="1030">
        <v>0</v>
      </c>
      <c r="N111" s="1034"/>
      <c r="O111" s="1030">
        <v>0</v>
      </c>
      <c r="P111" s="1030">
        <v>0</v>
      </c>
    </row>
    <row r="112" spans="1:16">
      <c r="A112" s="833"/>
      <c r="B112" s="968" t="s">
        <v>336</v>
      </c>
      <c r="C112" s="1024">
        <v>2020</v>
      </c>
      <c r="D112" s="1025">
        <v>0</v>
      </c>
      <c r="E112" s="926">
        <v>0</v>
      </c>
      <c r="F112" s="1026">
        <v>0</v>
      </c>
      <c r="G112" s="1026">
        <v>0</v>
      </c>
      <c r="H112" s="929">
        <v>0</v>
      </c>
      <c r="I112" s="1033">
        <v>0</v>
      </c>
      <c r="J112" s="1030">
        <v>0</v>
      </c>
      <c r="K112" s="1030"/>
      <c r="L112" s="1034"/>
      <c r="M112" s="1030">
        <v>0</v>
      </c>
      <c r="N112" s="1034"/>
      <c r="O112" s="1030">
        <v>0</v>
      </c>
      <c r="P112" s="1030">
        <v>0</v>
      </c>
    </row>
    <row r="113" spans="1:16">
      <c r="A113" s="833"/>
      <c r="B113" s="968" t="s">
        <v>336</v>
      </c>
      <c r="C113" s="1024">
        <v>2021</v>
      </c>
      <c r="D113" s="1025">
        <v>0</v>
      </c>
      <c r="E113" s="926">
        <v>0</v>
      </c>
      <c r="F113" s="1026">
        <v>0</v>
      </c>
      <c r="G113" s="1026">
        <v>0</v>
      </c>
      <c r="H113" s="929">
        <v>0</v>
      </c>
      <c r="I113" s="1033">
        <v>0</v>
      </c>
      <c r="J113" s="1030">
        <v>0</v>
      </c>
      <c r="K113" s="1030"/>
      <c r="L113" s="1034"/>
      <c r="M113" s="1030">
        <v>0</v>
      </c>
      <c r="N113" s="1034"/>
      <c r="O113" s="1030">
        <v>0</v>
      </c>
      <c r="P113" s="1030">
        <v>0</v>
      </c>
    </row>
    <row r="114" spans="1:16">
      <c r="A114" s="833"/>
      <c r="B114" s="968" t="s">
        <v>336</v>
      </c>
      <c r="C114" s="1024">
        <v>2022</v>
      </c>
      <c r="D114" s="1025">
        <v>0</v>
      </c>
      <c r="E114" s="926">
        <v>0</v>
      </c>
      <c r="F114" s="1026">
        <v>0</v>
      </c>
      <c r="G114" s="1026">
        <v>0</v>
      </c>
      <c r="H114" s="929">
        <v>0</v>
      </c>
      <c r="I114" s="1033">
        <v>0</v>
      </c>
      <c r="J114" s="1030">
        <v>0</v>
      </c>
      <c r="K114" s="1030"/>
      <c r="L114" s="1034"/>
      <c r="M114" s="1030">
        <v>0</v>
      </c>
      <c r="N114" s="1034"/>
      <c r="O114" s="1030">
        <v>0</v>
      </c>
      <c r="P114" s="1030">
        <v>0</v>
      </c>
    </row>
    <row r="115" spans="1:16">
      <c r="A115" s="833"/>
      <c r="B115" s="968" t="s">
        <v>336</v>
      </c>
      <c r="C115" s="1024">
        <v>2023</v>
      </c>
      <c r="D115" s="1025">
        <v>0</v>
      </c>
      <c r="E115" s="926">
        <v>0</v>
      </c>
      <c r="F115" s="1026">
        <v>0</v>
      </c>
      <c r="G115" s="1026">
        <v>0</v>
      </c>
      <c r="H115" s="929">
        <v>0</v>
      </c>
      <c r="I115" s="1033">
        <v>0</v>
      </c>
      <c r="J115" s="1030">
        <v>0</v>
      </c>
      <c r="K115" s="1030"/>
      <c r="L115" s="1034"/>
      <c r="M115" s="1030">
        <v>0</v>
      </c>
      <c r="N115" s="1034"/>
      <c r="O115" s="1030">
        <v>0</v>
      </c>
      <c r="P115" s="1030">
        <v>0</v>
      </c>
    </row>
    <row r="116" spans="1:16">
      <c r="A116" s="833"/>
      <c r="B116" s="968" t="s">
        <v>336</v>
      </c>
      <c r="C116" s="1024">
        <v>2024</v>
      </c>
      <c r="D116" s="1025">
        <v>0</v>
      </c>
      <c r="E116" s="926">
        <v>0</v>
      </c>
      <c r="F116" s="1026">
        <v>0</v>
      </c>
      <c r="G116" s="1026">
        <v>0</v>
      </c>
      <c r="H116" s="929">
        <v>0</v>
      </c>
      <c r="I116" s="1033">
        <v>0</v>
      </c>
      <c r="J116" s="1030">
        <v>0</v>
      </c>
      <c r="K116" s="1030"/>
      <c r="L116" s="1034"/>
      <c r="M116" s="1030">
        <v>0</v>
      </c>
      <c r="N116" s="1034"/>
      <c r="O116" s="1030">
        <v>0</v>
      </c>
      <c r="P116" s="1030">
        <v>0</v>
      </c>
    </row>
    <row r="117" spans="1:16">
      <c r="A117" s="833"/>
      <c r="B117" s="968" t="s">
        <v>336</v>
      </c>
      <c r="C117" s="1024">
        <v>2025</v>
      </c>
      <c r="D117" s="1025">
        <v>0</v>
      </c>
      <c r="E117" s="926">
        <v>0</v>
      </c>
      <c r="F117" s="1026">
        <v>0</v>
      </c>
      <c r="G117" s="1026">
        <v>0</v>
      </c>
      <c r="H117" s="929">
        <v>0</v>
      </c>
      <c r="I117" s="1033">
        <v>0</v>
      </c>
      <c r="J117" s="1030">
        <v>0</v>
      </c>
      <c r="K117" s="1030"/>
      <c r="L117" s="1034"/>
      <c r="M117" s="1030">
        <v>0</v>
      </c>
      <c r="N117" s="1034"/>
      <c r="O117" s="1030">
        <v>0</v>
      </c>
      <c r="P117" s="1030">
        <v>0</v>
      </c>
    </row>
    <row r="118" spans="1:16">
      <c r="A118" s="833"/>
      <c r="B118" s="968" t="s">
        <v>336</v>
      </c>
      <c r="C118" s="1024">
        <v>2026</v>
      </c>
      <c r="D118" s="1025">
        <v>0</v>
      </c>
      <c r="E118" s="926">
        <v>0</v>
      </c>
      <c r="F118" s="1026">
        <v>0</v>
      </c>
      <c r="G118" s="1026">
        <v>0</v>
      </c>
      <c r="H118" s="929">
        <v>0</v>
      </c>
      <c r="I118" s="1033">
        <v>0</v>
      </c>
      <c r="J118" s="1030">
        <v>0</v>
      </c>
      <c r="K118" s="1030"/>
      <c r="L118" s="1034"/>
      <c r="M118" s="1030">
        <v>0</v>
      </c>
      <c r="N118" s="1034"/>
      <c r="O118" s="1030">
        <v>0</v>
      </c>
      <c r="P118" s="1030">
        <v>0</v>
      </c>
    </row>
    <row r="119" spans="1:16">
      <c r="B119" s="968" t="s">
        <v>336</v>
      </c>
      <c r="C119" s="1024">
        <v>2027</v>
      </c>
      <c r="D119" s="1025">
        <v>0</v>
      </c>
      <c r="E119" s="926">
        <v>0</v>
      </c>
      <c r="F119" s="1026">
        <v>0</v>
      </c>
      <c r="G119" s="1026">
        <v>0</v>
      </c>
      <c r="H119" s="929">
        <v>0</v>
      </c>
      <c r="I119" s="1033">
        <v>0</v>
      </c>
      <c r="J119" s="1030">
        <v>0</v>
      </c>
      <c r="K119" s="1030"/>
      <c r="L119" s="1034"/>
      <c r="M119" s="1030">
        <v>0</v>
      </c>
      <c r="N119" s="1034"/>
      <c r="O119" s="1030">
        <v>0</v>
      </c>
      <c r="P119" s="1030">
        <v>0</v>
      </c>
    </row>
    <row r="120" spans="1:16">
      <c r="B120" s="968" t="s">
        <v>336</v>
      </c>
      <c r="C120" s="1024">
        <v>2028</v>
      </c>
      <c r="D120" s="1025">
        <v>0</v>
      </c>
      <c r="E120" s="926">
        <v>0</v>
      </c>
      <c r="F120" s="1026">
        <v>0</v>
      </c>
      <c r="G120" s="1026">
        <v>0</v>
      </c>
      <c r="H120" s="929">
        <v>0</v>
      </c>
      <c r="I120" s="1033">
        <v>0</v>
      </c>
      <c r="J120" s="1030">
        <v>0</v>
      </c>
      <c r="K120" s="1030"/>
      <c r="L120" s="1034"/>
      <c r="M120" s="1030">
        <v>0</v>
      </c>
      <c r="N120" s="1034"/>
      <c r="O120" s="1030">
        <v>0</v>
      </c>
      <c r="P120" s="1030">
        <v>0</v>
      </c>
    </row>
    <row r="121" spans="1:16">
      <c r="B121" s="968" t="s">
        <v>336</v>
      </c>
      <c r="C121" s="1024">
        <v>2029</v>
      </c>
      <c r="D121" s="1025">
        <v>0</v>
      </c>
      <c r="E121" s="926">
        <v>0</v>
      </c>
      <c r="F121" s="1026">
        <v>0</v>
      </c>
      <c r="G121" s="1026">
        <v>0</v>
      </c>
      <c r="H121" s="929">
        <v>0</v>
      </c>
      <c r="I121" s="1033">
        <v>0</v>
      </c>
      <c r="J121" s="1030">
        <v>0</v>
      </c>
      <c r="K121" s="1030"/>
      <c r="L121" s="1034"/>
      <c r="M121" s="1030">
        <v>0</v>
      </c>
      <c r="N121" s="1034"/>
      <c r="O121" s="1030">
        <v>0</v>
      </c>
      <c r="P121" s="1030">
        <v>0</v>
      </c>
    </row>
    <row r="122" spans="1:16">
      <c r="B122" s="968" t="s">
        <v>336</v>
      </c>
      <c r="C122" s="1024">
        <v>2030</v>
      </c>
      <c r="D122" s="1025">
        <v>0</v>
      </c>
      <c r="E122" s="926">
        <v>0</v>
      </c>
      <c r="F122" s="1026">
        <v>0</v>
      </c>
      <c r="G122" s="1026">
        <v>0</v>
      </c>
      <c r="H122" s="929">
        <v>0</v>
      </c>
      <c r="I122" s="1033">
        <v>0</v>
      </c>
      <c r="J122" s="1030">
        <v>0</v>
      </c>
      <c r="K122" s="1030"/>
      <c r="L122" s="1034"/>
      <c r="M122" s="1030">
        <v>0</v>
      </c>
      <c r="N122" s="1034"/>
      <c r="O122" s="1030">
        <v>0</v>
      </c>
      <c r="P122" s="1030">
        <v>0</v>
      </c>
    </row>
    <row r="123" spans="1:16">
      <c r="B123" s="968" t="s">
        <v>336</v>
      </c>
      <c r="C123" s="1024">
        <v>2031</v>
      </c>
      <c r="D123" s="1025">
        <v>0</v>
      </c>
      <c r="E123" s="926">
        <v>0</v>
      </c>
      <c r="F123" s="1026">
        <v>0</v>
      </c>
      <c r="G123" s="1026">
        <v>0</v>
      </c>
      <c r="H123" s="929">
        <v>0</v>
      </c>
      <c r="I123" s="1033">
        <v>0</v>
      </c>
      <c r="J123" s="1030">
        <v>0</v>
      </c>
      <c r="K123" s="1030"/>
      <c r="L123" s="1034"/>
      <c r="M123" s="1030">
        <v>0</v>
      </c>
      <c r="N123" s="1034"/>
      <c r="O123" s="1030">
        <v>0</v>
      </c>
      <c r="P123" s="1030">
        <v>0</v>
      </c>
    </row>
    <row r="124" spans="1:16">
      <c r="B124" s="968" t="s">
        <v>336</v>
      </c>
      <c r="C124" s="1024">
        <v>2032</v>
      </c>
      <c r="D124" s="1025">
        <v>0</v>
      </c>
      <c r="E124" s="926">
        <v>0</v>
      </c>
      <c r="F124" s="1026">
        <v>0</v>
      </c>
      <c r="G124" s="1026">
        <v>0</v>
      </c>
      <c r="H124" s="929">
        <v>0</v>
      </c>
      <c r="I124" s="1033">
        <v>0</v>
      </c>
      <c r="J124" s="1030">
        <v>0</v>
      </c>
      <c r="K124" s="1030"/>
      <c r="L124" s="1034"/>
      <c r="M124" s="1030">
        <v>0</v>
      </c>
      <c r="N124" s="1034"/>
      <c r="O124" s="1030">
        <v>0</v>
      </c>
      <c r="P124" s="1030">
        <v>0</v>
      </c>
    </row>
    <row r="125" spans="1:16">
      <c r="B125" s="968" t="s">
        <v>336</v>
      </c>
      <c r="C125" s="1024">
        <v>2033</v>
      </c>
      <c r="D125" s="1025">
        <v>0</v>
      </c>
      <c r="E125" s="926">
        <v>0</v>
      </c>
      <c r="F125" s="1026">
        <v>0</v>
      </c>
      <c r="G125" s="1026">
        <v>0</v>
      </c>
      <c r="H125" s="929">
        <v>0</v>
      </c>
      <c r="I125" s="1033">
        <v>0</v>
      </c>
      <c r="J125" s="1030">
        <v>0</v>
      </c>
      <c r="K125" s="1030"/>
      <c r="L125" s="1034"/>
      <c r="M125" s="1030">
        <v>0</v>
      </c>
      <c r="N125" s="1034"/>
      <c r="O125" s="1030">
        <v>0</v>
      </c>
      <c r="P125" s="1030">
        <v>0</v>
      </c>
    </row>
    <row r="126" spans="1:16">
      <c r="B126" s="968" t="s">
        <v>336</v>
      </c>
      <c r="C126" s="1024">
        <v>2034</v>
      </c>
      <c r="D126" s="1025">
        <v>0</v>
      </c>
      <c r="E126" s="926">
        <v>0</v>
      </c>
      <c r="F126" s="1026">
        <v>0</v>
      </c>
      <c r="G126" s="1026">
        <v>0</v>
      </c>
      <c r="H126" s="929">
        <v>0</v>
      </c>
      <c r="I126" s="1033">
        <v>0</v>
      </c>
      <c r="J126" s="1030">
        <v>0</v>
      </c>
      <c r="K126" s="1030"/>
      <c r="L126" s="1034"/>
      <c r="M126" s="1030">
        <v>0</v>
      </c>
      <c r="N126" s="1034"/>
      <c r="O126" s="1030">
        <v>0</v>
      </c>
      <c r="P126" s="1030">
        <v>0</v>
      </c>
    </row>
    <row r="127" spans="1:16">
      <c r="B127" s="968" t="s">
        <v>336</v>
      </c>
      <c r="C127" s="1024">
        <v>2035</v>
      </c>
      <c r="D127" s="1025">
        <v>0</v>
      </c>
      <c r="E127" s="926">
        <v>0</v>
      </c>
      <c r="F127" s="1026">
        <v>0</v>
      </c>
      <c r="G127" s="1026">
        <v>0</v>
      </c>
      <c r="H127" s="929">
        <v>0</v>
      </c>
      <c r="I127" s="1033">
        <v>0</v>
      </c>
      <c r="J127" s="1030">
        <v>0</v>
      </c>
      <c r="K127" s="1030"/>
      <c r="L127" s="1034"/>
      <c r="M127" s="1030">
        <v>0</v>
      </c>
      <c r="N127" s="1034"/>
      <c r="O127" s="1030">
        <v>0</v>
      </c>
      <c r="P127" s="1030">
        <v>0</v>
      </c>
    </row>
    <row r="128" spans="1:16">
      <c r="B128" s="968" t="s">
        <v>336</v>
      </c>
      <c r="C128" s="1024">
        <v>2036</v>
      </c>
      <c r="D128" s="1025">
        <v>0</v>
      </c>
      <c r="E128" s="926">
        <v>0</v>
      </c>
      <c r="F128" s="1026">
        <v>0</v>
      </c>
      <c r="G128" s="1026">
        <v>0</v>
      </c>
      <c r="H128" s="929">
        <v>0</v>
      </c>
      <c r="I128" s="1033">
        <v>0</v>
      </c>
      <c r="J128" s="1030">
        <v>0</v>
      </c>
      <c r="K128" s="1030"/>
      <c r="L128" s="1034"/>
      <c r="M128" s="1030">
        <v>0</v>
      </c>
      <c r="N128" s="1034"/>
      <c r="O128" s="1030">
        <v>0</v>
      </c>
      <c r="P128" s="1030">
        <v>0</v>
      </c>
    </row>
    <row r="129" spans="2:18">
      <c r="B129" s="968" t="s">
        <v>336</v>
      </c>
      <c r="C129" s="1024">
        <v>2037</v>
      </c>
      <c r="D129" s="1025">
        <v>0</v>
      </c>
      <c r="E129" s="926">
        <v>0</v>
      </c>
      <c r="F129" s="1026">
        <v>0</v>
      </c>
      <c r="G129" s="1026">
        <v>0</v>
      </c>
      <c r="H129" s="929">
        <v>0</v>
      </c>
      <c r="I129" s="1033">
        <v>0</v>
      </c>
      <c r="J129" s="1030">
        <v>0</v>
      </c>
      <c r="K129" s="1030"/>
      <c r="L129" s="1034"/>
      <c r="M129" s="1030">
        <v>0</v>
      </c>
      <c r="N129" s="1034"/>
      <c r="O129" s="1030">
        <v>0</v>
      </c>
      <c r="P129" s="1030">
        <v>0</v>
      </c>
    </row>
    <row r="130" spans="2:18">
      <c r="B130" s="968" t="s">
        <v>336</v>
      </c>
      <c r="C130" s="1024">
        <v>2038</v>
      </c>
      <c r="D130" s="1025">
        <v>0</v>
      </c>
      <c r="E130" s="926">
        <v>0</v>
      </c>
      <c r="F130" s="1026">
        <v>0</v>
      </c>
      <c r="G130" s="1026">
        <v>0</v>
      </c>
      <c r="H130" s="929">
        <v>0</v>
      </c>
      <c r="I130" s="1033">
        <v>0</v>
      </c>
      <c r="J130" s="1030">
        <v>0</v>
      </c>
      <c r="K130" s="1030"/>
      <c r="L130" s="1034"/>
      <c r="M130" s="1030">
        <v>0</v>
      </c>
      <c r="N130" s="1034"/>
      <c r="O130" s="1030">
        <v>0</v>
      </c>
      <c r="P130" s="1030">
        <v>0</v>
      </c>
    </row>
    <row r="131" spans="2:18">
      <c r="B131" s="968" t="s">
        <v>336</v>
      </c>
      <c r="C131" s="1024">
        <v>2039</v>
      </c>
      <c r="D131" s="1025">
        <v>0</v>
      </c>
      <c r="E131" s="926">
        <v>0</v>
      </c>
      <c r="F131" s="1026">
        <v>0</v>
      </c>
      <c r="G131" s="1026">
        <v>0</v>
      </c>
      <c r="H131" s="929">
        <v>0</v>
      </c>
      <c r="I131" s="1033">
        <v>0</v>
      </c>
      <c r="J131" s="1030">
        <v>0</v>
      </c>
      <c r="K131" s="1030"/>
      <c r="L131" s="1034"/>
      <c r="M131" s="1030">
        <v>0</v>
      </c>
      <c r="N131" s="1034"/>
      <c r="O131" s="1030">
        <v>0</v>
      </c>
      <c r="P131" s="1030">
        <v>0</v>
      </c>
    </row>
    <row r="132" spans="2:18">
      <c r="B132" s="968" t="s">
        <v>336</v>
      </c>
      <c r="C132" s="1024">
        <v>2040</v>
      </c>
      <c r="D132" s="1025">
        <v>0</v>
      </c>
      <c r="E132" s="926">
        <v>0</v>
      </c>
      <c r="F132" s="1026">
        <v>0</v>
      </c>
      <c r="G132" s="1026">
        <v>0</v>
      </c>
      <c r="H132" s="929">
        <v>0</v>
      </c>
      <c r="I132" s="1033">
        <v>0</v>
      </c>
      <c r="J132" s="1030">
        <v>0</v>
      </c>
      <c r="K132" s="1030"/>
      <c r="L132" s="1034"/>
      <c r="M132" s="1030">
        <v>0</v>
      </c>
      <c r="N132" s="1034"/>
      <c r="O132" s="1030">
        <v>0</v>
      </c>
      <c r="P132" s="1030">
        <v>0</v>
      </c>
      <c r="R132" s="949"/>
    </row>
    <row r="133" spans="2:18">
      <c r="B133" s="968" t="s">
        <v>336</v>
      </c>
      <c r="C133" s="1024">
        <v>2041</v>
      </c>
      <c r="D133" s="1025">
        <v>0</v>
      </c>
      <c r="E133" s="926">
        <v>0</v>
      </c>
      <c r="F133" s="1026">
        <v>0</v>
      </c>
      <c r="G133" s="1026">
        <v>0</v>
      </c>
      <c r="H133" s="929">
        <v>0</v>
      </c>
      <c r="I133" s="1033">
        <v>0</v>
      </c>
      <c r="J133" s="1030">
        <v>0</v>
      </c>
      <c r="K133" s="1030"/>
      <c r="L133" s="1034"/>
      <c r="M133" s="1030">
        <v>0</v>
      </c>
      <c r="N133" s="1034"/>
      <c r="O133" s="1030">
        <v>0</v>
      </c>
      <c r="P133" s="1030">
        <v>0</v>
      </c>
      <c r="R133" s="497"/>
    </row>
    <row r="134" spans="2:18">
      <c r="B134" s="968" t="s">
        <v>336</v>
      </c>
      <c r="C134" s="1024">
        <v>2042</v>
      </c>
      <c r="D134" s="1025">
        <v>0</v>
      </c>
      <c r="E134" s="926">
        <v>0</v>
      </c>
      <c r="F134" s="1026">
        <v>0</v>
      </c>
      <c r="G134" s="1026">
        <v>0</v>
      </c>
      <c r="H134" s="929">
        <v>0</v>
      </c>
      <c r="I134" s="1033">
        <v>0</v>
      </c>
      <c r="J134" s="1030">
        <v>0</v>
      </c>
      <c r="K134" s="1030"/>
      <c r="L134" s="1034"/>
      <c r="M134" s="1030">
        <v>0</v>
      </c>
      <c r="N134" s="1034"/>
      <c r="O134" s="1030">
        <v>0</v>
      </c>
      <c r="P134" s="1030">
        <v>0</v>
      </c>
      <c r="R134" s="497"/>
    </row>
    <row r="135" spans="2:18">
      <c r="B135" s="968" t="s">
        <v>336</v>
      </c>
      <c r="C135" s="1024">
        <v>2043</v>
      </c>
      <c r="D135" s="1025">
        <v>0</v>
      </c>
      <c r="E135" s="926">
        <v>0</v>
      </c>
      <c r="F135" s="1026">
        <v>0</v>
      </c>
      <c r="G135" s="1026">
        <v>0</v>
      </c>
      <c r="H135" s="929">
        <v>0</v>
      </c>
      <c r="I135" s="1033">
        <v>0</v>
      </c>
      <c r="J135" s="1030">
        <v>0</v>
      </c>
      <c r="K135" s="1030"/>
      <c r="L135" s="1034"/>
      <c r="M135" s="1030">
        <v>0</v>
      </c>
      <c r="N135" s="1034"/>
      <c r="O135" s="1030">
        <v>0</v>
      </c>
      <c r="P135" s="1030">
        <v>0</v>
      </c>
      <c r="R135" s="497"/>
    </row>
    <row r="136" spans="2:18">
      <c r="B136" s="968" t="s">
        <v>336</v>
      </c>
      <c r="C136" s="1024">
        <v>2044</v>
      </c>
      <c r="D136" s="1025">
        <v>0</v>
      </c>
      <c r="E136" s="926">
        <v>0</v>
      </c>
      <c r="F136" s="1026">
        <v>0</v>
      </c>
      <c r="G136" s="1026">
        <v>0</v>
      </c>
      <c r="H136" s="929">
        <v>0</v>
      </c>
      <c r="I136" s="1033">
        <v>0</v>
      </c>
      <c r="J136" s="1030">
        <v>0</v>
      </c>
      <c r="K136" s="1030"/>
      <c r="L136" s="1034"/>
      <c r="M136" s="1030">
        <v>0</v>
      </c>
      <c r="N136" s="1034"/>
      <c r="O136" s="1030">
        <v>0</v>
      </c>
      <c r="P136" s="1030">
        <v>0</v>
      </c>
      <c r="R136" s="497"/>
    </row>
    <row r="137" spans="2:18">
      <c r="B137" s="968" t="s">
        <v>336</v>
      </c>
      <c r="C137" s="1024">
        <v>2045</v>
      </c>
      <c r="D137" s="1025">
        <v>0</v>
      </c>
      <c r="E137" s="926">
        <v>0</v>
      </c>
      <c r="F137" s="1026">
        <v>0</v>
      </c>
      <c r="G137" s="1026">
        <v>0</v>
      </c>
      <c r="H137" s="929">
        <v>0</v>
      </c>
      <c r="I137" s="1033">
        <v>0</v>
      </c>
      <c r="J137" s="1030">
        <v>0</v>
      </c>
      <c r="K137" s="1030"/>
      <c r="L137" s="1034"/>
      <c r="M137" s="1030">
        <v>0</v>
      </c>
      <c r="N137" s="1034"/>
      <c r="O137" s="1030">
        <v>0</v>
      </c>
      <c r="P137" s="1030">
        <v>0</v>
      </c>
      <c r="R137" s="497"/>
    </row>
    <row r="138" spans="2:18">
      <c r="B138" s="968" t="s">
        <v>336</v>
      </c>
      <c r="C138" s="1024">
        <v>2046</v>
      </c>
      <c r="D138" s="1025">
        <v>0</v>
      </c>
      <c r="E138" s="926">
        <v>0</v>
      </c>
      <c r="F138" s="1026">
        <v>0</v>
      </c>
      <c r="G138" s="1026">
        <v>0</v>
      </c>
      <c r="H138" s="929">
        <v>0</v>
      </c>
      <c r="I138" s="1033">
        <v>0</v>
      </c>
      <c r="J138" s="1030">
        <v>0</v>
      </c>
      <c r="K138" s="1030"/>
      <c r="L138" s="1034"/>
      <c r="M138" s="1030">
        <v>0</v>
      </c>
      <c r="N138" s="1034"/>
      <c r="O138" s="1030">
        <v>0</v>
      </c>
      <c r="P138" s="1030">
        <v>0</v>
      </c>
      <c r="R138" s="497"/>
    </row>
    <row r="139" spans="2:18">
      <c r="B139" s="968" t="s">
        <v>336</v>
      </c>
      <c r="C139" s="1024">
        <v>2047</v>
      </c>
      <c r="D139" s="1025">
        <v>0</v>
      </c>
      <c r="E139" s="926">
        <v>0</v>
      </c>
      <c r="F139" s="1026">
        <v>0</v>
      </c>
      <c r="G139" s="1026">
        <v>0</v>
      </c>
      <c r="H139" s="929">
        <v>0</v>
      </c>
      <c r="I139" s="1033">
        <v>0</v>
      </c>
      <c r="J139" s="1030">
        <v>0</v>
      </c>
      <c r="K139" s="1030"/>
      <c r="L139" s="1034"/>
      <c r="M139" s="1030">
        <v>0</v>
      </c>
      <c r="N139" s="1034"/>
      <c r="O139" s="1030">
        <v>0</v>
      </c>
      <c r="P139" s="1030">
        <v>0</v>
      </c>
      <c r="R139" s="497"/>
    </row>
    <row r="140" spans="2:18">
      <c r="B140" s="968" t="s">
        <v>336</v>
      </c>
      <c r="C140" s="1024">
        <v>2048</v>
      </c>
      <c r="D140" s="1025">
        <v>0</v>
      </c>
      <c r="E140" s="926">
        <v>0</v>
      </c>
      <c r="F140" s="1026">
        <v>0</v>
      </c>
      <c r="G140" s="1026">
        <v>0</v>
      </c>
      <c r="H140" s="929">
        <v>0</v>
      </c>
      <c r="I140" s="1033">
        <v>0</v>
      </c>
      <c r="J140" s="1030">
        <v>0</v>
      </c>
      <c r="K140" s="1030"/>
      <c r="L140" s="1034"/>
      <c r="M140" s="1030">
        <v>0</v>
      </c>
      <c r="N140" s="1034"/>
      <c r="O140" s="1030">
        <v>0</v>
      </c>
      <c r="P140" s="1030">
        <v>0</v>
      </c>
      <c r="R140" s="497"/>
    </row>
    <row r="141" spans="2:18">
      <c r="B141" s="968" t="s">
        <v>336</v>
      </c>
      <c r="C141" s="1024">
        <v>2049</v>
      </c>
      <c r="D141" s="1025">
        <v>0</v>
      </c>
      <c r="E141" s="926">
        <v>0</v>
      </c>
      <c r="F141" s="1026">
        <v>0</v>
      </c>
      <c r="G141" s="1026">
        <v>0</v>
      </c>
      <c r="H141" s="929">
        <v>0</v>
      </c>
      <c r="I141" s="1033">
        <v>0</v>
      </c>
      <c r="J141" s="1030">
        <v>0</v>
      </c>
      <c r="K141" s="1030"/>
      <c r="L141" s="1034"/>
      <c r="M141" s="1030">
        <v>0</v>
      </c>
      <c r="N141" s="1034"/>
      <c r="O141" s="1030">
        <v>0</v>
      </c>
      <c r="P141" s="1030">
        <v>0</v>
      </c>
      <c r="R141" s="497"/>
    </row>
    <row r="142" spans="2:18">
      <c r="B142" s="968" t="s">
        <v>336</v>
      </c>
      <c r="C142" s="1024">
        <v>2050</v>
      </c>
      <c r="D142" s="1025">
        <v>0</v>
      </c>
      <c r="E142" s="926">
        <v>0</v>
      </c>
      <c r="F142" s="1026">
        <v>0</v>
      </c>
      <c r="G142" s="1026">
        <v>0</v>
      </c>
      <c r="H142" s="929">
        <v>0</v>
      </c>
      <c r="I142" s="1033">
        <v>0</v>
      </c>
      <c r="J142" s="1030">
        <v>0</v>
      </c>
      <c r="K142" s="1030"/>
      <c r="L142" s="1034"/>
      <c r="M142" s="1030">
        <v>0</v>
      </c>
      <c r="N142" s="1034"/>
      <c r="O142" s="1030">
        <v>0</v>
      </c>
      <c r="P142" s="1030">
        <v>0</v>
      </c>
      <c r="R142" s="497"/>
    </row>
    <row r="143" spans="2:18">
      <c r="B143" s="968" t="s">
        <v>336</v>
      </c>
      <c r="C143" s="1024">
        <v>2051</v>
      </c>
      <c r="D143" s="1025">
        <v>0</v>
      </c>
      <c r="E143" s="926">
        <v>0</v>
      </c>
      <c r="F143" s="1026">
        <v>0</v>
      </c>
      <c r="G143" s="1026">
        <v>0</v>
      </c>
      <c r="H143" s="929">
        <v>0</v>
      </c>
      <c r="I143" s="1033">
        <v>0</v>
      </c>
      <c r="J143" s="1030">
        <v>0</v>
      </c>
      <c r="K143" s="1030"/>
      <c r="L143" s="1034"/>
      <c r="M143" s="1030">
        <v>0</v>
      </c>
      <c r="N143" s="1034"/>
      <c r="O143" s="1030">
        <v>0</v>
      </c>
      <c r="P143" s="1030">
        <v>0</v>
      </c>
      <c r="R143" s="497"/>
    </row>
    <row r="144" spans="2:18">
      <c r="B144" s="968" t="s">
        <v>336</v>
      </c>
      <c r="C144" s="1024">
        <v>2052</v>
      </c>
      <c r="D144" s="1025">
        <v>0</v>
      </c>
      <c r="E144" s="926">
        <v>0</v>
      </c>
      <c r="F144" s="1026">
        <v>0</v>
      </c>
      <c r="G144" s="1026">
        <v>0</v>
      </c>
      <c r="H144" s="929">
        <v>0</v>
      </c>
      <c r="I144" s="1033">
        <v>0</v>
      </c>
      <c r="J144" s="1030">
        <v>0</v>
      </c>
      <c r="K144" s="1030"/>
      <c r="L144" s="1034"/>
      <c r="M144" s="1030">
        <v>0</v>
      </c>
      <c r="N144" s="1034"/>
      <c r="O144" s="1030">
        <v>0</v>
      </c>
      <c r="P144" s="1030">
        <v>0</v>
      </c>
      <c r="R144" s="497"/>
    </row>
    <row r="145" spans="2:18">
      <c r="B145" s="968" t="s">
        <v>336</v>
      </c>
      <c r="C145" s="1024">
        <v>2053</v>
      </c>
      <c r="D145" s="1025">
        <v>0</v>
      </c>
      <c r="E145" s="926">
        <v>0</v>
      </c>
      <c r="F145" s="1026">
        <v>0</v>
      </c>
      <c r="G145" s="1026">
        <v>0</v>
      </c>
      <c r="H145" s="929">
        <v>0</v>
      </c>
      <c r="I145" s="1033">
        <v>0</v>
      </c>
      <c r="J145" s="1030">
        <v>0</v>
      </c>
      <c r="K145" s="1030"/>
      <c r="L145" s="1034"/>
      <c r="M145" s="1030">
        <v>0</v>
      </c>
      <c r="N145" s="1034"/>
      <c r="O145" s="1030">
        <v>0</v>
      </c>
      <c r="P145" s="1030">
        <v>0</v>
      </c>
      <c r="R145" s="497"/>
    </row>
    <row r="146" spans="2:18">
      <c r="B146" s="968" t="s">
        <v>336</v>
      </c>
      <c r="C146" s="1024">
        <v>2054</v>
      </c>
      <c r="D146" s="1025">
        <v>0</v>
      </c>
      <c r="E146" s="926">
        <v>0</v>
      </c>
      <c r="F146" s="1026">
        <v>0</v>
      </c>
      <c r="G146" s="1026">
        <v>0</v>
      </c>
      <c r="H146" s="929">
        <v>0</v>
      </c>
      <c r="I146" s="1033">
        <v>0</v>
      </c>
      <c r="J146" s="1030">
        <v>0</v>
      </c>
      <c r="K146" s="1030"/>
      <c r="L146" s="1034"/>
      <c r="M146" s="1030">
        <v>0</v>
      </c>
      <c r="N146" s="1034"/>
      <c r="O146" s="1030">
        <v>0</v>
      </c>
      <c r="P146" s="1030">
        <v>0</v>
      </c>
      <c r="R146" s="497"/>
    </row>
    <row r="147" spans="2:18">
      <c r="B147" s="968" t="s">
        <v>336</v>
      </c>
      <c r="C147" s="1024">
        <v>2055</v>
      </c>
      <c r="D147" s="1025">
        <v>0</v>
      </c>
      <c r="E147" s="926">
        <v>0</v>
      </c>
      <c r="F147" s="1026">
        <v>0</v>
      </c>
      <c r="G147" s="1026">
        <v>0</v>
      </c>
      <c r="H147" s="929">
        <v>0</v>
      </c>
      <c r="I147" s="1033">
        <v>0</v>
      </c>
      <c r="J147" s="1030">
        <v>0</v>
      </c>
      <c r="K147" s="1030"/>
      <c r="L147" s="1034"/>
      <c r="M147" s="1030">
        <v>0</v>
      </c>
      <c r="N147" s="1034"/>
      <c r="O147" s="1030">
        <v>0</v>
      </c>
      <c r="P147" s="1030">
        <v>0</v>
      </c>
      <c r="R147" s="497"/>
    </row>
    <row r="148" spans="2:18">
      <c r="B148" s="968" t="s">
        <v>336</v>
      </c>
      <c r="C148" s="1024">
        <v>2056</v>
      </c>
      <c r="D148" s="1025">
        <v>0</v>
      </c>
      <c r="E148" s="926">
        <v>0</v>
      </c>
      <c r="F148" s="1026">
        <v>0</v>
      </c>
      <c r="G148" s="1026">
        <v>0</v>
      </c>
      <c r="H148" s="929">
        <v>0</v>
      </c>
      <c r="I148" s="1033">
        <v>0</v>
      </c>
      <c r="J148" s="1030">
        <v>0</v>
      </c>
      <c r="K148" s="1030"/>
      <c r="L148" s="1034"/>
      <c r="M148" s="1030">
        <v>0</v>
      </c>
      <c r="N148" s="1034"/>
      <c r="O148" s="1030">
        <v>0</v>
      </c>
      <c r="P148" s="1030">
        <v>0</v>
      </c>
      <c r="R148" s="497"/>
    </row>
    <row r="149" spans="2:18">
      <c r="B149" s="968" t="s">
        <v>336</v>
      </c>
      <c r="C149" s="1024">
        <v>2057</v>
      </c>
      <c r="D149" s="1025">
        <v>0</v>
      </c>
      <c r="E149" s="926">
        <v>0</v>
      </c>
      <c r="F149" s="1026">
        <v>0</v>
      </c>
      <c r="G149" s="1026">
        <v>0</v>
      </c>
      <c r="H149" s="929">
        <v>0</v>
      </c>
      <c r="I149" s="1033">
        <v>0</v>
      </c>
      <c r="J149" s="1030">
        <v>0</v>
      </c>
      <c r="K149" s="1030"/>
      <c r="L149" s="1034"/>
      <c r="M149" s="1030">
        <v>0</v>
      </c>
      <c r="N149" s="1034"/>
      <c r="O149" s="1030">
        <v>0</v>
      </c>
      <c r="P149" s="1030">
        <v>0</v>
      </c>
      <c r="R149" s="497"/>
    </row>
    <row r="150" spans="2:18">
      <c r="B150" s="968" t="s">
        <v>336</v>
      </c>
      <c r="C150" s="1024">
        <v>2058</v>
      </c>
      <c r="D150" s="1025">
        <v>0</v>
      </c>
      <c r="E150" s="926">
        <v>0</v>
      </c>
      <c r="F150" s="1026">
        <v>0</v>
      </c>
      <c r="G150" s="1026">
        <v>0</v>
      </c>
      <c r="H150" s="929">
        <v>0</v>
      </c>
      <c r="I150" s="1033">
        <v>0</v>
      </c>
      <c r="J150" s="1030">
        <v>0</v>
      </c>
      <c r="K150" s="1030"/>
      <c r="L150" s="1034"/>
      <c r="M150" s="1030">
        <v>0</v>
      </c>
      <c r="N150" s="1034"/>
      <c r="O150" s="1030">
        <v>0</v>
      </c>
      <c r="P150" s="1030">
        <v>0</v>
      </c>
      <c r="R150" s="497"/>
    </row>
    <row r="151" spans="2:18">
      <c r="B151" s="968" t="s">
        <v>336</v>
      </c>
      <c r="C151" s="1024">
        <v>2059</v>
      </c>
      <c r="D151" s="1025">
        <v>0</v>
      </c>
      <c r="E151" s="926">
        <v>0</v>
      </c>
      <c r="F151" s="1026">
        <v>0</v>
      </c>
      <c r="G151" s="1026">
        <v>0</v>
      </c>
      <c r="H151" s="929">
        <v>0</v>
      </c>
      <c r="I151" s="1033">
        <v>0</v>
      </c>
      <c r="J151" s="1030">
        <v>0</v>
      </c>
      <c r="K151" s="1030"/>
      <c r="L151" s="1034"/>
      <c r="M151" s="1030">
        <v>0</v>
      </c>
      <c r="N151" s="1034"/>
      <c r="O151" s="1030">
        <v>0</v>
      </c>
      <c r="P151" s="1030">
        <v>0</v>
      </c>
      <c r="R151" s="497"/>
    </row>
    <row r="152" spans="2:18">
      <c r="B152" s="968" t="s">
        <v>336</v>
      </c>
      <c r="C152" s="1024">
        <v>2060</v>
      </c>
      <c r="D152" s="1025">
        <v>0</v>
      </c>
      <c r="E152" s="926">
        <v>0</v>
      </c>
      <c r="F152" s="1026">
        <v>0</v>
      </c>
      <c r="G152" s="1026">
        <v>0</v>
      </c>
      <c r="H152" s="929">
        <v>0</v>
      </c>
      <c r="I152" s="1033">
        <v>0</v>
      </c>
      <c r="J152" s="1030">
        <v>0</v>
      </c>
      <c r="K152" s="1030"/>
      <c r="L152" s="1034"/>
      <c r="M152" s="1030">
        <v>0</v>
      </c>
      <c r="N152" s="1034"/>
      <c r="O152" s="1030">
        <v>0</v>
      </c>
      <c r="P152" s="1030">
        <v>0</v>
      </c>
      <c r="R152" s="497"/>
    </row>
    <row r="153" spans="2:18">
      <c r="B153" s="968" t="s">
        <v>336</v>
      </c>
      <c r="C153" s="1024">
        <v>2061</v>
      </c>
      <c r="D153" s="1025">
        <v>0</v>
      </c>
      <c r="E153" s="926">
        <v>0</v>
      </c>
      <c r="F153" s="1026">
        <v>0</v>
      </c>
      <c r="G153" s="1026">
        <v>0</v>
      </c>
      <c r="H153" s="929">
        <v>0</v>
      </c>
      <c r="I153" s="1033">
        <v>0</v>
      </c>
      <c r="J153" s="1030">
        <v>0</v>
      </c>
      <c r="K153" s="1030"/>
      <c r="L153" s="1034"/>
      <c r="M153" s="1030">
        <v>0</v>
      </c>
      <c r="N153" s="1034"/>
      <c r="O153" s="1030">
        <v>0</v>
      </c>
      <c r="P153" s="1030">
        <v>0</v>
      </c>
      <c r="R153" s="497"/>
    </row>
    <row r="154" spans="2:18">
      <c r="B154" s="968" t="s">
        <v>336</v>
      </c>
      <c r="C154" s="1024">
        <v>2062</v>
      </c>
      <c r="D154" s="1025">
        <v>0</v>
      </c>
      <c r="E154" s="926">
        <v>0</v>
      </c>
      <c r="F154" s="1026">
        <v>0</v>
      </c>
      <c r="G154" s="1026">
        <v>0</v>
      </c>
      <c r="H154" s="929">
        <v>0</v>
      </c>
      <c r="I154" s="1033">
        <v>0</v>
      </c>
      <c r="J154" s="1030">
        <v>0</v>
      </c>
      <c r="K154" s="1030"/>
      <c r="L154" s="1034"/>
      <c r="M154" s="1030">
        <v>0</v>
      </c>
      <c r="N154" s="1034"/>
      <c r="O154" s="1030">
        <v>0</v>
      </c>
      <c r="P154" s="1030">
        <v>0</v>
      </c>
      <c r="R154" s="497"/>
    </row>
    <row r="155" spans="2:18">
      <c r="B155" s="968" t="s">
        <v>336</v>
      </c>
      <c r="C155" s="1024">
        <v>2063</v>
      </c>
      <c r="D155" s="1025">
        <v>0</v>
      </c>
      <c r="E155" s="926">
        <v>0</v>
      </c>
      <c r="F155" s="1026">
        <v>0</v>
      </c>
      <c r="G155" s="1026">
        <v>0</v>
      </c>
      <c r="H155" s="929">
        <v>0</v>
      </c>
      <c r="I155" s="1033">
        <v>0</v>
      </c>
      <c r="J155" s="1030">
        <v>0</v>
      </c>
      <c r="K155" s="1030"/>
      <c r="L155" s="1034"/>
      <c r="M155" s="1030">
        <v>0</v>
      </c>
      <c r="N155" s="1034"/>
      <c r="O155" s="1030">
        <v>0</v>
      </c>
      <c r="P155" s="1030">
        <v>0</v>
      </c>
      <c r="R155" s="497"/>
    </row>
    <row r="156" spans="2:18">
      <c r="B156" s="968" t="s">
        <v>336</v>
      </c>
      <c r="C156" s="1024">
        <v>2064</v>
      </c>
      <c r="D156" s="1025">
        <v>0</v>
      </c>
      <c r="E156" s="926">
        <v>0</v>
      </c>
      <c r="F156" s="1026">
        <v>0</v>
      </c>
      <c r="G156" s="1026">
        <v>0</v>
      </c>
      <c r="H156" s="929">
        <v>0</v>
      </c>
      <c r="I156" s="1033">
        <v>0</v>
      </c>
      <c r="J156" s="1030">
        <v>0</v>
      </c>
      <c r="K156" s="1030"/>
      <c r="L156" s="1034"/>
      <c r="M156" s="1030">
        <v>0</v>
      </c>
      <c r="N156" s="1034"/>
      <c r="O156" s="1030">
        <v>0</v>
      </c>
      <c r="P156" s="1030">
        <v>0</v>
      </c>
      <c r="R156" s="497"/>
    </row>
    <row r="157" spans="2:18">
      <c r="B157" s="968" t="s">
        <v>336</v>
      </c>
      <c r="C157" s="1024">
        <v>2065</v>
      </c>
      <c r="D157" s="1025">
        <v>0</v>
      </c>
      <c r="E157" s="926">
        <v>0</v>
      </c>
      <c r="F157" s="1026">
        <v>0</v>
      </c>
      <c r="G157" s="1026">
        <v>0</v>
      </c>
      <c r="H157" s="929">
        <v>0</v>
      </c>
      <c r="I157" s="1033">
        <v>0</v>
      </c>
      <c r="J157" s="1030">
        <v>0</v>
      </c>
      <c r="K157" s="1030"/>
      <c r="L157" s="1034"/>
      <c r="M157" s="1030">
        <v>0</v>
      </c>
      <c r="N157" s="1034"/>
      <c r="O157" s="1030">
        <v>0</v>
      </c>
      <c r="P157" s="1030">
        <v>0</v>
      </c>
      <c r="R157" s="497"/>
    </row>
    <row r="158" spans="2:18">
      <c r="B158" s="968" t="s">
        <v>336</v>
      </c>
      <c r="C158" s="1024">
        <v>2066</v>
      </c>
      <c r="D158" s="1025">
        <v>0</v>
      </c>
      <c r="E158" s="926">
        <v>0</v>
      </c>
      <c r="F158" s="1026">
        <v>0</v>
      </c>
      <c r="G158" s="1026">
        <v>0</v>
      </c>
      <c r="H158" s="929">
        <v>0</v>
      </c>
      <c r="I158" s="1033">
        <v>0</v>
      </c>
      <c r="J158" s="1030">
        <v>0</v>
      </c>
      <c r="K158" s="1030"/>
      <c r="L158" s="1034"/>
      <c r="M158" s="1030">
        <v>0</v>
      </c>
      <c r="N158" s="1034"/>
      <c r="O158" s="1030">
        <v>0</v>
      </c>
      <c r="P158" s="1030">
        <v>0</v>
      </c>
      <c r="R158" s="497"/>
    </row>
    <row r="159" spans="2:18">
      <c r="B159" s="968" t="s">
        <v>336</v>
      </c>
      <c r="C159" s="1024">
        <v>2067</v>
      </c>
      <c r="D159" s="1025">
        <v>0</v>
      </c>
      <c r="E159" s="926">
        <v>0</v>
      </c>
      <c r="F159" s="1026">
        <v>0</v>
      </c>
      <c r="G159" s="1026">
        <v>0</v>
      </c>
      <c r="H159" s="929">
        <v>0</v>
      </c>
      <c r="I159" s="1033">
        <v>0</v>
      </c>
      <c r="J159" s="1030">
        <v>0</v>
      </c>
      <c r="K159" s="1030"/>
      <c r="L159" s="1034"/>
      <c r="M159" s="1030">
        <v>0</v>
      </c>
      <c r="N159" s="1034"/>
      <c r="O159" s="1030">
        <v>0</v>
      </c>
      <c r="P159" s="1030">
        <v>0</v>
      </c>
      <c r="R159" s="497"/>
    </row>
    <row r="160" spans="2:18" ht="13" thickBot="1">
      <c r="B160" s="968" t="s">
        <v>336</v>
      </c>
      <c r="C160" s="1035">
        <v>2068</v>
      </c>
      <c r="D160" s="1036">
        <v>0</v>
      </c>
      <c r="E160" s="932">
        <v>0</v>
      </c>
      <c r="F160" s="1037">
        <v>0</v>
      </c>
      <c r="G160" s="1037">
        <v>0</v>
      </c>
      <c r="H160" s="933">
        <v>0</v>
      </c>
      <c r="I160" s="1038">
        <v>0</v>
      </c>
      <c r="J160" s="1039">
        <v>0</v>
      </c>
      <c r="K160" s="1030"/>
      <c r="L160" s="1040"/>
      <c r="M160" s="1039">
        <v>0</v>
      </c>
      <c r="N160" s="1040"/>
      <c r="O160" s="1039">
        <v>0</v>
      </c>
      <c r="P160" s="1039">
        <v>0</v>
      </c>
      <c r="R160" s="497"/>
    </row>
    <row r="161" spans="2:18">
      <c r="B161" s="833"/>
      <c r="C161" s="1025" t="s">
        <v>475</v>
      </c>
      <c r="D161" s="864"/>
      <c r="E161" s="864">
        <v>1035552</v>
      </c>
      <c r="F161" s="864"/>
      <c r="G161" s="864"/>
      <c r="H161" s="864">
        <v>4670143.8157202108</v>
      </c>
      <c r="I161" s="864">
        <v>4670143.8157202108</v>
      </c>
      <c r="J161" s="864">
        <v>0</v>
      </c>
      <c r="K161" s="864"/>
      <c r="L161" s="864"/>
      <c r="M161" s="864"/>
      <c r="N161" s="864"/>
      <c r="O161" s="864"/>
      <c r="P161" s="833"/>
      <c r="R161" s="497"/>
    </row>
    <row r="162" spans="2:18">
      <c r="B162" s="833"/>
      <c r="C162" s="833" t="s">
        <v>637</v>
      </c>
      <c r="D162" s="968"/>
      <c r="E162" s="833"/>
      <c r="F162" s="833"/>
      <c r="G162" s="833"/>
      <c r="H162" s="833"/>
      <c r="I162" s="859"/>
      <c r="J162" s="859"/>
      <c r="K162" s="864"/>
      <c r="L162" s="859"/>
      <c r="M162" s="859"/>
      <c r="N162" s="859"/>
      <c r="O162" s="859"/>
      <c r="P162" s="833"/>
      <c r="R162" s="497"/>
    </row>
    <row r="163" spans="2:18">
      <c r="B163" s="833"/>
      <c r="C163" s="833"/>
      <c r="D163" s="968"/>
      <c r="E163" s="833"/>
      <c r="F163" s="833"/>
      <c r="G163" s="833"/>
      <c r="H163" s="833"/>
      <c r="I163" s="859"/>
      <c r="J163" s="859"/>
      <c r="K163" s="864"/>
      <c r="L163" s="859"/>
      <c r="M163" s="859"/>
      <c r="N163" s="859"/>
      <c r="O163" s="859"/>
      <c r="P163" s="833"/>
      <c r="R163" s="497"/>
    </row>
    <row r="164" spans="2:18" ht="13">
      <c r="B164" s="833"/>
      <c r="C164" s="1041" t="s">
        <v>638</v>
      </c>
      <c r="D164" s="968"/>
      <c r="E164" s="833"/>
      <c r="F164" s="833"/>
      <c r="G164" s="833"/>
      <c r="H164" s="833"/>
      <c r="I164" s="859"/>
      <c r="J164" s="859"/>
      <c r="K164" s="864"/>
      <c r="L164" s="859"/>
      <c r="M164" s="859"/>
      <c r="N164" s="859"/>
      <c r="O164" s="859"/>
      <c r="P164" s="833"/>
      <c r="R164" s="497"/>
    </row>
    <row r="165" spans="2:18" ht="13">
      <c r="B165" s="833"/>
      <c r="C165" s="989" t="s">
        <v>476</v>
      </c>
      <c r="D165" s="1025"/>
      <c r="E165" s="1025"/>
      <c r="F165" s="1025"/>
      <c r="G165" s="1025"/>
      <c r="H165" s="864"/>
      <c r="I165" s="864"/>
      <c r="J165" s="1042"/>
      <c r="K165" s="1042"/>
      <c r="L165" s="1042"/>
      <c r="M165" s="1042"/>
      <c r="N165" s="1042"/>
      <c r="O165" s="1042"/>
      <c r="P165" s="833"/>
      <c r="R165" s="497"/>
    </row>
    <row r="166" spans="2:18" ht="13">
      <c r="B166" s="833"/>
      <c r="C166" s="989" t="s">
        <v>477</v>
      </c>
      <c r="D166" s="1025"/>
      <c r="E166" s="1025"/>
      <c r="F166" s="1025"/>
      <c r="G166" s="1025"/>
      <c r="H166" s="864"/>
      <c r="I166" s="864"/>
      <c r="J166" s="1042"/>
      <c r="K166" s="1042"/>
      <c r="L166" s="1042"/>
      <c r="M166" s="1042"/>
      <c r="N166" s="1042"/>
      <c r="O166" s="1042"/>
      <c r="P166" s="833"/>
    </row>
  </sheetData>
  <mergeCells count="8">
    <mergeCell ref="L7:P9"/>
    <mergeCell ref="L14:P15"/>
    <mergeCell ref="L10:P10"/>
    <mergeCell ref="C7:I7"/>
    <mergeCell ref="A2:I2"/>
    <mergeCell ref="A3:I3"/>
    <mergeCell ref="A4:I4"/>
    <mergeCell ref="A5:I5"/>
  </mergeCells>
  <phoneticPr fontId="0" type="noConversion"/>
  <printOptions horizontalCentered="1"/>
  <pageMargins left="0.25" right="0.25" top="0.75" bottom="0.25" header="0.25" footer="0.5"/>
  <pageSetup scale="38" fitToHeight="5" orientation="landscape" horizontalDpi="1200" verticalDpi="1200" r:id="rId1"/>
  <headerFooter alignWithMargins="0">
    <oddHeader xml:space="preserve">&amp;R&amp;12AEP - SPP Transco  Formula Rate
TCOS - WS G
Page: &amp;P of &amp;N&amp;16
</oddHeader>
    <oddFooter xml:space="preserve">&amp;C &amp;R </oddFooter>
  </headerFooter>
  <rowBreaks count="1" manualBreakCount="1">
    <brk id="86" max="16" man="1"/>
  </rowBreaks>
  <colBreaks count="1" manualBreakCount="1">
    <brk id="1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V99"/>
  <sheetViews>
    <sheetView topLeftCell="A19" zoomScale="81" zoomScaleNormal="81" zoomScaleSheetLayoutView="75" zoomScalePageLayoutView="80" workbookViewId="0">
      <selection activeCell="M42" sqref="M42"/>
    </sheetView>
  </sheetViews>
  <sheetFormatPr defaultColWidth="9.1796875" defaultRowHeight="15.5"/>
  <cols>
    <col min="1" max="1" width="4.7265625" style="1043" customWidth="1"/>
    <col min="2" max="2" width="7.453125" style="1043" customWidth="1"/>
    <col min="3" max="6" width="12.7265625" style="1043" customWidth="1"/>
    <col min="7" max="7" width="17.1796875" style="1043" customWidth="1"/>
    <col min="8" max="9" width="12.7265625" style="1043" customWidth="1"/>
    <col min="10" max="10" width="12" style="1043" customWidth="1"/>
    <col min="11" max="11" width="16.453125" style="1043" bestFit="1" customWidth="1"/>
    <col min="12" max="12" width="22.1796875" style="1043" bestFit="1" customWidth="1"/>
    <col min="13" max="13" width="22.1796875" style="406" bestFit="1" customWidth="1"/>
    <col min="14" max="14" width="8.453125" style="1043" customWidth="1"/>
    <col min="15" max="38" width="12.7265625" style="1043" customWidth="1"/>
    <col min="39" max="16384" width="9.1796875" style="1043"/>
  </cols>
  <sheetData>
    <row r="1" spans="1:22">
      <c r="A1" s="551"/>
    </row>
    <row r="2" spans="1:22">
      <c r="N2" s="1044"/>
    </row>
    <row r="3" spans="1:22">
      <c r="A3" s="1996" t="str">
        <f>+'OKT TCOS'!F4</f>
        <v xml:space="preserve">AEP West SPP Member Transmission Companies </v>
      </c>
      <c r="B3" s="1996"/>
      <c r="C3" s="1996"/>
      <c r="D3" s="1996"/>
      <c r="E3" s="1996"/>
      <c r="F3" s="1996"/>
      <c r="G3" s="1996"/>
      <c r="H3" s="1996"/>
      <c r="I3" s="1996"/>
      <c r="J3" s="1996"/>
      <c r="K3" s="1996"/>
      <c r="L3" s="1996"/>
      <c r="M3" s="1996"/>
      <c r="N3" s="1996"/>
    </row>
    <row r="4" spans="1:22">
      <c r="A4" s="2041" t="str">
        <f>+'OKT WS A-1 - Plant'!A3</f>
        <v xml:space="preserve">Actual / Projected 2019 Rate Year Cost of Service Formula Rate </v>
      </c>
      <c r="B4" s="1990"/>
      <c r="C4" s="1990"/>
      <c r="D4" s="1990"/>
      <c r="E4" s="1990"/>
      <c r="F4" s="1990"/>
      <c r="G4" s="1990"/>
      <c r="H4" s="1990"/>
      <c r="I4" s="1990"/>
      <c r="J4" s="1990"/>
      <c r="K4" s="1990"/>
      <c r="L4" s="1990"/>
      <c r="M4" s="1990"/>
      <c r="N4" s="1990"/>
    </row>
    <row r="5" spans="1:22" ht="15.75" customHeight="1">
      <c r="A5" s="1990" t="s">
        <v>598</v>
      </c>
      <c r="B5" s="1990"/>
      <c r="C5" s="1990"/>
      <c r="D5" s="1990"/>
      <c r="E5" s="1990"/>
      <c r="F5" s="1990"/>
      <c r="G5" s="1990"/>
      <c r="H5" s="1990"/>
      <c r="I5" s="1990"/>
      <c r="J5" s="1990"/>
      <c r="K5" s="1990"/>
      <c r="L5" s="1990"/>
      <c r="M5" s="1990"/>
      <c r="N5" s="1990"/>
      <c r="O5" s="422"/>
      <c r="P5" s="422"/>
      <c r="Q5" s="422"/>
      <c r="R5" s="422"/>
      <c r="S5" s="422"/>
      <c r="T5" s="422"/>
      <c r="U5" s="422"/>
    </row>
    <row r="6" spans="1:22">
      <c r="A6" s="2025" t="str">
        <f>+'OKT TCOS'!F8</f>
        <v>AEP OKLAHOMA TRANSMISSION COMPANY, INC.</v>
      </c>
      <c r="B6" s="2025"/>
      <c r="C6" s="2025"/>
      <c r="D6" s="2025"/>
      <c r="E6" s="2025"/>
      <c r="F6" s="2025"/>
      <c r="G6" s="2025"/>
      <c r="H6" s="2025"/>
      <c r="I6" s="2025"/>
      <c r="J6" s="2025"/>
      <c r="K6" s="2025"/>
      <c r="L6" s="2025"/>
      <c r="M6" s="2025"/>
      <c r="N6" s="2025"/>
    </row>
    <row r="7" spans="1:22" ht="25">
      <c r="A7" s="1045"/>
      <c r="B7" s="1046"/>
      <c r="C7" s="1046"/>
      <c r="D7" s="1046"/>
      <c r="E7" s="1046"/>
      <c r="F7" s="1046"/>
      <c r="G7" s="1046"/>
      <c r="H7" s="1046"/>
      <c r="I7" s="1046"/>
      <c r="J7" s="1046"/>
      <c r="K7" s="1046"/>
      <c r="L7" s="744"/>
      <c r="M7" s="1047"/>
    </row>
    <row r="8" spans="1:22" ht="20">
      <c r="A8" s="1048"/>
      <c r="B8" s="1046"/>
      <c r="C8" s="1046"/>
      <c r="D8" s="1046"/>
      <c r="E8" s="1046"/>
      <c r="F8" s="1046"/>
      <c r="G8" s="1046"/>
      <c r="H8" s="1046"/>
      <c r="I8" s="1046"/>
      <c r="J8" s="1046"/>
      <c r="K8" s="1046"/>
      <c r="L8" s="1046"/>
      <c r="M8" s="1049"/>
    </row>
    <row r="9" spans="1:22" ht="20">
      <c r="A9" s="1046"/>
      <c r="B9" s="1046"/>
      <c r="C9" s="1050"/>
      <c r="D9" s="1050"/>
      <c r="E9" s="1050"/>
      <c r="F9" s="1050"/>
      <c r="G9" s="1050"/>
      <c r="H9" s="1050"/>
      <c r="I9" s="1050"/>
      <c r="J9" s="1050"/>
      <c r="K9" s="1051" t="s">
        <v>318</v>
      </c>
      <c r="L9" s="1051" t="s">
        <v>209</v>
      </c>
      <c r="M9" s="1052"/>
      <c r="N9" s="550"/>
      <c r="P9" s="550"/>
      <c r="R9" s="550"/>
      <c r="S9" s="550"/>
      <c r="T9" s="550"/>
      <c r="U9" s="497"/>
      <c r="V9" s="497"/>
    </row>
    <row r="10" spans="1:22" ht="20">
      <c r="A10" s="1050"/>
      <c r="B10" s="1053" t="s">
        <v>596</v>
      </c>
      <c r="C10" s="1050"/>
      <c r="D10" s="1050"/>
      <c r="E10" s="1050"/>
      <c r="F10" s="1050"/>
      <c r="G10" s="1050"/>
      <c r="H10" s="1050"/>
      <c r="I10" s="1050"/>
      <c r="J10" s="1046"/>
      <c r="K10" s="1051" t="s">
        <v>319</v>
      </c>
      <c r="L10" s="1051" t="s">
        <v>254</v>
      </c>
      <c r="M10" s="1051" t="s">
        <v>254</v>
      </c>
      <c r="N10" s="550"/>
      <c r="O10" s="550"/>
      <c r="P10" s="550"/>
      <c r="Q10" s="550"/>
      <c r="R10" s="550"/>
      <c r="S10" s="550"/>
      <c r="T10" s="1054"/>
      <c r="U10" s="497"/>
      <c r="V10" s="497"/>
    </row>
    <row r="11" spans="1:22" ht="20">
      <c r="A11" s="1050"/>
      <c r="B11" s="1055"/>
      <c r="C11" s="1046"/>
      <c r="D11" s="1050"/>
      <c r="E11" s="1050"/>
      <c r="F11" s="1050"/>
      <c r="G11" s="1050"/>
      <c r="H11" s="1050"/>
      <c r="I11" s="1050"/>
      <c r="J11" s="1046"/>
      <c r="K11" s="1050"/>
      <c r="L11" s="1050"/>
      <c r="M11" s="1056"/>
      <c r="N11" s="550"/>
      <c r="O11" s="550"/>
      <c r="P11" s="550"/>
      <c r="Q11" s="550"/>
      <c r="R11" s="550"/>
      <c r="S11" s="550"/>
      <c r="T11" s="1054"/>
      <c r="U11" s="497"/>
      <c r="V11" s="497"/>
    </row>
    <row r="12" spans="1:22" ht="20.25" customHeight="1">
      <c r="A12" s="1050"/>
      <c r="B12" s="1057">
        <v>1</v>
      </c>
      <c r="C12" s="1058" t="s">
        <v>640</v>
      </c>
      <c r="D12" s="1046"/>
      <c r="E12" s="1046"/>
      <c r="F12" s="1050"/>
      <c r="G12" s="1046"/>
      <c r="H12" s="1046"/>
      <c r="I12" s="1050"/>
      <c r="J12" s="1046"/>
      <c r="K12" s="1059"/>
      <c r="L12" s="1060">
        <f>+K12-M12</f>
        <v>0</v>
      </c>
      <c r="M12" s="1006">
        <v>0</v>
      </c>
      <c r="N12" s="497"/>
      <c r="O12" s="497"/>
      <c r="P12" s="497"/>
      <c r="Q12" s="497"/>
      <c r="R12" s="497"/>
      <c r="S12" s="497"/>
      <c r="T12" s="550"/>
      <c r="U12" s="497"/>
      <c r="V12" s="497"/>
    </row>
    <row r="13" spans="1:22" ht="20.25" customHeight="1">
      <c r="A13" s="1050"/>
      <c r="B13" s="1057"/>
      <c r="C13" s="1055"/>
      <c r="D13" s="1046"/>
      <c r="E13" s="1046"/>
      <c r="F13" s="1050"/>
      <c r="G13" s="1046"/>
      <c r="H13" s="1046"/>
      <c r="I13" s="1050"/>
      <c r="J13" s="1046"/>
      <c r="K13" s="1061"/>
      <c r="L13" s="1062"/>
      <c r="M13" s="1062"/>
      <c r="N13" s="497"/>
      <c r="O13" s="497"/>
      <c r="P13" s="497"/>
      <c r="Q13" s="497"/>
      <c r="R13" s="497"/>
      <c r="S13" s="497"/>
      <c r="T13" s="550"/>
      <c r="U13" s="497"/>
      <c r="V13" s="497"/>
    </row>
    <row r="14" spans="1:22" ht="20.5">
      <c r="A14" s="1050"/>
      <c r="B14" s="1057">
        <f>+B12+1</f>
        <v>2</v>
      </c>
      <c r="C14" s="3" t="s">
        <v>611</v>
      </c>
      <c r="D14" s="1046"/>
      <c r="E14" s="1046"/>
      <c r="F14" s="1050"/>
      <c r="G14" s="1046"/>
      <c r="H14" s="1062"/>
      <c r="I14" s="1050"/>
      <c r="J14" s="1046"/>
      <c r="K14" s="1059"/>
      <c r="L14" s="1060">
        <f>+K14-M14</f>
        <v>0</v>
      </c>
      <c r="M14" s="1006"/>
      <c r="N14" s="497"/>
      <c r="O14" s="497"/>
      <c r="P14" s="497"/>
      <c r="Q14" s="497"/>
      <c r="R14" s="497"/>
      <c r="S14" s="497"/>
      <c r="T14" s="497"/>
      <c r="U14" s="497"/>
      <c r="V14" s="497"/>
    </row>
    <row r="15" spans="1:22" ht="20.5">
      <c r="A15" s="1050"/>
      <c r="B15" s="1057"/>
      <c r="C15" s="1055"/>
      <c r="D15" s="1046"/>
      <c r="E15" s="1046"/>
      <c r="F15" s="1050"/>
      <c r="G15" s="1046"/>
      <c r="H15" s="1062"/>
      <c r="I15" s="1050"/>
      <c r="J15" s="1050"/>
      <c r="K15" s="1061"/>
      <c r="L15" s="1050"/>
      <c r="M15" s="1063"/>
      <c r="N15" s="497"/>
      <c r="O15" s="497"/>
      <c r="P15" s="497"/>
      <c r="Q15" s="497"/>
      <c r="R15" s="497"/>
      <c r="S15" s="497"/>
      <c r="T15" s="497"/>
      <c r="U15" s="497"/>
      <c r="V15" s="497"/>
    </row>
    <row r="16" spans="1:22" ht="18">
      <c r="A16" s="1050"/>
      <c r="C16" s="1058" t="s">
        <v>641</v>
      </c>
      <c r="D16" s="1046"/>
      <c r="E16" s="1046"/>
      <c r="F16" s="1050"/>
      <c r="G16" s="1046"/>
      <c r="H16" s="1046"/>
      <c r="I16" s="1050"/>
      <c r="J16" s="1050"/>
      <c r="K16" s="1061"/>
      <c r="L16" s="1060"/>
      <c r="M16" s="1006"/>
      <c r="N16" s="497"/>
      <c r="O16" s="497"/>
      <c r="P16" s="497"/>
      <c r="Q16" s="497"/>
      <c r="R16" s="497"/>
      <c r="S16" s="497"/>
      <c r="T16" s="497"/>
      <c r="U16" s="497"/>
      <c r="V16" s="497"/>
    </row>
    <row r="17" spans="1:22" ht="20.5">
      <c r="A17" s="1050"/>
      <c r="B17" s="1057"/>
      <c r="C17" s="1064"/>
      <c r="D17" s="1052" t="s">
        <v>96</v>
      </c>
      <c r="E17" s="1046"/>
      <c r="F17" s="1050"/>
      <c r="G17" s="1065"/>
      <c r="H17" s="1062"/>
      <c r="I17" s="1050"/>
      <c r="J17" s="1050"/>
      <c r="K17" s="1059">
        <v>2753359.48</v>
      </c>
      <c r="L17" s="1060">
        <f>+K17-M17</f>
        <v>0</v>
      </c>
      <c r="M17" s="1059">
        <f>+K17</f>
        <v>2753359.48</v>
      </c>
      <c r="N17" s="497"/>
      <c r="O17" s="497"/>
      <c r="P17" s="497"/>
      <c r="Q17" s="497"/>
      <c r="R17" s="497"/>
      <c r="S17" s="497"/>
      <c r="T17" s="497"/>
      <c r="U17" s="497"/>
      <c r="V17" s="497"/>
    </row>
    <row r="18" spans="1:22" ht="20.5">
      <c r="A18" s="1050"/>
      <c r="B18" s="1057"/>
      <c r="C18" s="1066"/>
      <c r="D18" s="1052" t="s">
        <v>97</v>
      </c>
      <c r="E18" s="1046"/>
      <c r="F18" s="1050"/>
      <c r="G18" s="1065"/>
      <c r="H18" s="1062"/>
      <c r="I18" s="1050"/>
      <c r="J18" s="1050"/>
      <c r="K18" s="1059">
        <v>0</v>
      </c>
      <c r="L18" s="1060">
        <f>+K18-M18</f>
        <v>0</v>
      </c>
      <c r="M18" s="1059">
        <v>0</v>
      </c>
      <c r="N18" s="497"/>
      <c r="O18" s="497"/>
      <c r="P18" s="497"/>
      <c r="Q18" s="497"/>
      <c r="R18" s="497"/>
      <c r="S18" s="497"/>
      <c r="T18" s="497"/>
      <c r="U18" s="497"/>
      <c r="V18" s="497"/>
    </row>
    <row r="19" spans="1:22" ht="20.5">
      <c r="A19" s="1050"/>
      <c r="B19" s="1057"/>
      <c r="C19" s="1066"/>
      <c r="D19" s="1052" t="s">
        <v>409</v>
      </c>
      <c r="E19" s="1046"/>
      <c r="F19" s="1050"/>
      <c r="G19" s="1065"/>
      <c r="H19" s="1062"/>
      <c r="I19" s="1050"/>
      <c r="J19" s="1050"/>
      <c r="K19" s="1059">
        <v>0</v>
      </c>
      <c r="L19" s="1060">
        <f>+K19-M19</f>
        <v>0</v>
      </c>
      <c r="M19" s="1059">
        <v>0</v>
      </c>
      <c r="O19" s="497"/>
      <c r="P19" s="497"/>
      <c r="Q19" s="497"/>
      <c r="R19" s="497"/>
      <c r="S19" s="497"/>
      <c r="T19" s="497"/>
      <c r="U19" s="497"/>
      <c r="V19" s="497"/>
    </row>
    <row r="20" spans="1:22" ht="20.5">
      <c r="A20" s="1050"/>
      <c r="B20" s="1057"/>
      <c r="C20" s="1066"/>
      <c r="D20" s="1067" t="s">
        <v>98</v>
      </c>
      <c r="E20" s="1046"/>
      <c r="F20" s="1050"/>
      <c r="G20" s="1065"/>
      <c r="H20" s="1062"/>
      <c r="I20" s="1050"/>
      <c r="J20" s="1050"/>
      <c r="K20" s="1059">
        <v>0</v>
      </c>
      <c r="L20" s="1060">
        <f>+K20-M20</f>
        <v>0</v>
      </c>
      <c r="M20" s="1059">
        <v>0</v>
      </c>
      <c r="N20" s="497"/>
      <c r="O20" s="497"/>
      <c r="P20" s="497"/>
      <c r="Q20" s="497"/>
      <c r="R20" s="497"/>
      <c r="S20" s="497"/>
      <c r="T20" s="497"/>
      <c r="U20" s="497"/>
      <c r="V20" s="497"/>
    </row>
    <row r="21" spans="1:22" ht="20.5">
      <c r="A21" s="1050"/>
      <c r="B21" s="1057"/>
      <c r="C21" s="1066"/>
      <c r="D21" s="1067" t="s">
        <v>500</v>
      </c>
      <c r="E21" s="1046"/>
      <c r="F21" s="1050"/>
      <c r="G21" s="1065"/>
      <c r="H21" s="1062"/>
      <c r="I21" s="1050"/>
      <c r="J21" s="1050"/>
      <c r="K21" s="1059"/>
      <c r="L21" s="1060"/>
      <c r="M21" s="1059"/>
      <c r="N21" s="497"/>
      <c r="O21" s="497"/>
      <c r="P21" s="497"/>
      <c r="Q21" s="497"/>
      <c r="R21" s="497"/>
      <c r="S21" s="497"/>
      <c r="T21" s="497"/>
      <c r="U21" s="497"/>
      <c r="V21" s="497"/>
    </row>
    <row r="22" spans="1:22" ht="20.5">
      <c r="A22" s="1050"/>
      <c r="B22" s="1057">
        <f>+B14+1</f>
        <v>3</v>
      </c>
      <c r="C22" s="1066"/>
      <c r="D22" s="1052" t="s">
        <v>499</v>
      </c>
      <c r="E22" s="1046"/>
      <c r="F22" s="1050"/>
      <c r="G22" s="1065"/>
      <c r="H22" s="1062"/>
      <c r="I22" s="1050"/>
      <c r="J22" s="1050"/>
      <c r="K22" s="1068">
        <f>SUM(K17:K21)</f>
        <v>2753359.48</v>
      </c>
      <c r="L22" s="1060"/>
      <c r="M22" s="1068">
        <f>SUM(M17:M21)</f>
        <v>2753359.48</v>
      </c>
      <c r="N22" s="497"/>
      <c r="O22" s="497"/>
      <c r="P22" s="497"/>
      <c r="Q22" s="497"/>
      <c r="R22" s="497"/>
      <c r="S22" s="497"/>
      <c r="T22" s="497"/>
      <c r="U22" s="497"/>
      <c r="V22" s="497"/>
    </row>
    <row r="23" spans="1:22" ht="20.5">
      <c r="A23" s="1050"/>
      <c r="B23" s="1057"/>
      <c r="C23" s="1062"/>
      <c r="D23" s="1046"/>
      <c r="E23" s="1046"/>
      <c r="F23" s="1050"/>
      <c r="G23" s="1065"/>
      <c r="H23" s="1062"/>
      <c r="I23" s="1050"/>
      <c r="J23" s="1050"/>
      <c r="K23" s="1050"/>
      <c r="L23" s="1050"/>
      <c r="M23" s="1062"/>
      <c r="N23" s="497"/>
      <c r="O23" s="497"/>
      <c r="P23" s="497"/>
      <c r="Q23" s="497"/>
      <c r="R23" s="497"/>
      <c r="S23" s="497"/>
      <c r="T23" s="497"/>
      <c r="U23" s="497"/>
      <c r="V23" s="497"/>
    </row>
    <row r="24" spans="1:22" ht="20.5">
      <c r="A24" s="1050"/>
      <c r="B24" s="1057"/>
      <c r="C24" s="1069"/>
      <c r="D24" s="1046"/>
      <c r="E24" s="1046"/>
      <c r="F24" s="1050"/>
      <c r="G24" s="1065"/>
      <c r="H24" s="1062"/>
      <c r="I24" s="1050"/>
      <c r="J24" s="1050"/>
      <c r="K24" s="1050"/>
      <c r="L24" s="1050"/>
      <c r="M24" s="1062"/>
      <c r="N24" s="497"/>
      <c r="O24" s="497"/>
      <c r="P24" s="497"/>
      <c r="Q24" s="497"/>
      <c r="R24" s="497"/>
      <c r="S24" s="497"/>
      <c r="T24" s="497"/>
      <c r="U24" s="497"/>
      <c r="V24" s="497"/>
    </row>
    <row r="25" spans="1:22" ht="20.5">
      <c r="A25" s="1050"/>
      <c r="B25" s="1057"/>
      <c r="C25" s="1062"/>
      <c r="D25" s="1046"/>
      <c r="E25" s="1046"/>
      <c r="F25" s="1050"/>
      <c r="G25" s="1065"/>
      <c r="H25" s="1062"/>
      <c r="I25" s="1050"/>
      <c r="J25" s="1050"/>
      <c r="K25" s="1050"/>
      <c r="L25" s="1050"/>
      <c r="M25" s="1062"/>
      <c r="N25" s="497"/>
      <c r="O25" s="497"/>
      <c r="P25" s="497"/>
      <c r="Q25" s="497"/>
      <c r="R25" s="497"/>
      <c r="S25" s="497"/>
      <c r="T25" s="497"/>
      <c r="U25" s="497"/>
      <c r="V25" s="497"/>
    </row>
    <row r="26" spans="1:22" ht="20.5">
      <c r="A26" s="1050"/>
      <c r="B26" s="1057"/>
      <c r="C26" s="3" t="s">
        <v>600</v>
      </c>
      <c r="D26" s="1046"/>
      <c r="E26" s="1046"/>
      <c r="F26" s="1050"/>
      <c r="G26" s="1065"/>
      <c r="H26" s="1062"/>
      <c r="I26" s="1050"/>
      <c r="J26" s="1050"/>
      <c r="K26" s="482"/>
      <c r="L26" s="482"/>
      <c r="M26" s="482"/>
      <c r="N26" s="497"/>
      <c r="O26" s="497"/>
      <c r="P26" s="497"/>
      <c r="Q26" s="497"/>
      <c r="R26" s="497"/>
      <c r="S26" s="497"/>
      <c r="T26" s="497"/>
      <c r="U26" s="497"/>
      <c r="V26" s="497"/>
    </row>
    <row r="27" spans="1:22" ht="20.5">
      <c r="A27" s="1050"/>
      <c r="B27" s="1057"/>
      <c r="C27" s="407">
        <v>1</v>
      </c>
      <c r="D27" s="1052" t="s">
        <v>99</v>
      </c>
      <c r="E27" s="1046"/>
      <c r="F27" s="1050"/>
      <c r="G27" s="1065"/>
      <c r="H27" s="1062"/>
      <c r="I27" s="1050"/>
      <c r="J27" s="1050"/>
      <c r="K27" s="1059">
        <v>0</v>
      </c>
      <c r="L27" s="1060">
        <f t="shared" ref="L27:L28" si="0">+K27-M27</f>
        <v>0</v>
      </c>
      <c r="M27" s="1059">
        <v>0</v>
      </c>
      <c r="N27" s="497"/>
      <c r="O27" s="497"/>
      <c r="P27" s="497"/>
      <c r="Q27" s="497"/>
      <c r="R27" s="497"/>
      <c r="S27" s="497"/>
      <c r="T27" s="497"/>
      <c r="U27" s="497"/>
      <c r="V27" s="497"/>
    </row>
    <row r="28" spans="1:22" ht="20.5">
      <c r="A28" s="1050"/>
      <c r="B28" s="1057"/>
      <c r="C28" s="407">
        <v>2</v>
      </c>
      <c r="D28" s="1052" t="s">
        <v>601</v>
      </c>
      <c r="E28" s="1046"/>
      <c r="F28" s="1050"/>
      <c r="G28" s="1065"/>
      <c r="H28" s="1062"/>
      <c r="I28" s="1050"/>
      <c r="J28" s="1050"/>
      <c r="K28" s="1059">
        <v>0</v>
      </c>
      <c r="L28" s="1060">
        <f t="shared" si="0"/>
        <v>0</v>
      </c>
      <c r="M28" s="1059">
        <v>0</v>
      </c>
      <c r="N28" s="497"/>
      <c r="O28" s="497"/>
      <c r="P28" s="497"/>
      <c r="Q28" s="497"/>
      <c r="R28" s="497"/>
      <c r="S28" s="497"/>
      <c r="T28" s="497"/>
      <c r="U28" s="497"/>
      <c r="V28" s="497"/>
    </row>
    <row r="29" spans="1:22" ht="20.5">
      <c r="A29" s="1050"/>
      <c r="B29" s="1057">
        <f>+B22+1</f>
        <v>4</v>
      </c>
      <c r="C29" s="3"/>
      <c r="D29" s="1052" t="s">
        <v>612</v>
      </c>
      <c r="E29" s="1046"/>
      <c r="F29" s="1050"/>
      <c r="G29" s="1065"/>
      <c r="H29" s="1062"/>
      <c r="I29" s="1050"/>
      <c r="J29" s="1050"/>
      <c r="K29" s="1070">
        <f>+SUM(K27:K28)</f>
        <v>0</v>
      </c>
      <c r="L29" s="1060"/>
      <c r="M29" s="1070">
        <f>+SUM(M27:M28)</f>
        <v>0</v>
      </c>
      <c r="N29" s="497"/>
      <c r="O29" s="497"/>
      <c r="P29" s="497"/>
      <c r="Q29" s="497"/>
      <c r="R29" s="497"/>
      <c r="S29" s="497"/>
      <c r="T29" s="497"/>
      <c r="U29" s="497"/>
      <c r="V29" s="497"/>
    </row>
    <row r="30" spans="1:22" ht="20.5">
      <c r="A30" s="1050"/>
      <c r="B30" s="1057"/>
      <c r="E30" s="1046"/>
      <c r="F30" s="1050"/>
      <c r="G30" s="1065"/>
      <c r="H30" s="1062"/>
      <c r="I30" s="1050"/>
      <c r="J30" s="1050"/>
      <c r="M30" s="1043"/>
      <c r="N30" s="497"/>
      <c r="O30" s="497"/>
      <c r="P30" s="497"/>
      <c r="Q30" s="497"/>
      <c r="R30" s="497"/>
      <c r="S30" s="497"/>
      <c r="T30" s="497"/>
      <c r="U30" s="497"/>
      <c r="V30" s="497"/>
    </row>
    <row r="31" spans="1:22" ht="20.5">
      <c r="A31" s="1050"/>
      <c r="B31" s="1057"/>
      <c r="C31" s="1055"/>
      <c r="D31" s="1046"/>
      <c r="E31" s="1046"/>
      <c r="F31" s="1050"/>
      <c r="G31" s="1065"/>
      <c r="H31" s="1062"/>
      <c r="I31" s="1050"/>
      <c r="J31" s="1050"/>
      <c r="K31" s="1050"/>
      <c r="L31" s="1050"/>
      <c r="M31" s="1071"/>
      <c r="N31" s="497"/>
      <c r="O31" s="497"/>
      <c r="P31" s="497"/>
      <c r="Q31" s="497"/>
      <c r="R31" s="497"/>
      <c r="S31" s="497"/>
      <c r="T31" s="497"/>
      <c r="U31" s="497"/>
      <c r="V31" s="497"/>
    </row>
    <row r="32" spans="1:22" ht="20.25" customHeight="1">
      <c r="A32" s="1050"/>
      <c r="B32" s="1057"/>
      <c r="C32" s="3" t="s">
        <v>597</v>
      </c>
      <c r="D32" s="1046"/>
      <c r="E32" s="1046"/>
      <c r="F32" s="1050"/>
      <c r="G32" s="1046"/>
      <c r="H32" s="1046"/>
      <c r="I32" s="1050"/>
      <c r="J32" s="1050"/>
      <c r="K32" s="1046"/>
      <c r="L32" s="1046"/>
      <c r="M32" s="1059">
        <v>130487180.92999999</v>
      </c>
      <c r="N32" s="497"/>
      <c r="O32" s="497"/>
      <c r="P32" s="497"/>
      <c r="Q32" s="497"/>
      <c r="R32" s="497"/>
      <c r="S32" s="497"/>
      <c r="T32" s="550"/>
      <c r="U32" s="497"/>
      <c r="V32" s="497"/>
    </row>
    <row r="33" spans="1:22" ht="19.899999999999999" customHeight="1">
      <c r="A33" s="1050"/>
      <c r="B33" s="1057"/>
      <c r="C33" s="1069"/>
      <c r="D33" s="1050"/>
      <c r="E33" s="1050"/>
      <c r="F33" s="1050"/>
      <c r="G33" s="1050"/>
      <c r="H33" s="1046"/>
      <c r="I33" s="1050"/>
      <c r="J33" s="1050"/>
      <c r="K33" s="1050"/>
      <c r="L33" s="1046"/>
      <c r="M33" s="497"/>
      <c r="N33" s="497"/>
      <c r="O33" s="497"/>
      <c r="P33" s="497"/>
      <c r="Q33" s="497"/>
      <c r="R33" s="497"/>
      <c r="S33" s="497"/>
      <c r="T33" s="673"/>
      <c r="U33" s="497"/>
      <c r="V33" s="497"/>
    </row>
    <row r="34" spans="1:22" ht="19.899999999999999" customHeight="1">
      <c r="A34" s="1050"/>
      <c r="B34" s="1057"/>
      <c r="C34" s="1072" t="s">
        <v>100</v>
      </c>
      <c r="D34" s="1046"/>
      <c r="E34" s="1050"/>
      <c r="F34" s="1046"/>
      <c r="G34" s="1050"/>
      <c r="H34" s="1050"/>
      <c r="I34" s="1050"/>
      <c r="J34" s="1050"/>
      <c r="K34" s="1050"/>
      <c r="L34" s="1046"/>
      <c r="M34" s="1073"/>
      <c r="N34" s="497"/>
      <c r="O34" s="497"/>
      <c r="P34" s="497"/>
      <c r="Q34" s="497"/>
      <c r="R34" s="497"/>
      <c r="S34" s="497"/>
      <c r="T34" s="673"/>
      <c r="U34" s="497"/>
      <c r="V34" s="497"/>
    </row>
    <row r="35" spans="1:22" ht="19.899999999999999" customHeight="1">
      <c r="A35" s="1050"/>
      <c r="B35" s="1057"/>
      <c r="C35" s="407"/>
      <c r="D35" s="1074" t="s">
        <v>101</v>
      </c>
      <c r="E35" s="1075"/>
      <c r="F35" s="1046"/>
      <c r="G35" s="1050"/>
      <c r="H35" s="1050"/>
      <c r="I35" s="1050"/>
      <c r="J35" s="1050"/>
      <c r="K35" s="1050"/>
      <c r="L35" s="1046"/>
      <c r="M35" s="1059"/>
      <c r="N35" s="497"/>
      <c r="O35" s="497"/>
      <c r="P35" s="497"/>
      <c r="Q35" s="497"/>
      <c r="R35" s="497"/>
      <c r="S35" s="497"/>
      <c r="T35" s="673"/>
      <c r="U35" s="497"/>
      <c r="V35" s="497"/>
    </row>
    <row r="36" spans="1:22" ht="19.899999999999999" customHeight="1">
      <c r="A36" s="1050"/>
      <c r="B36" s="1057"/>
      <c r="C36" s="407"/>
      <c r="D36" s="1074" t="s">
        <v>102</v>
      </c>
      <c r="E36" s="1075"/>
      <c r="F36" s="1046"/>
      <c r="G36" s="1050"/>
      <c r="H36" s="1050"/>
      <c r="I36" s="1050"/>
      <c r="J36" s="1050"/>
      <c r="K36" s="1050"/>
      <c r="L36" s="1046"/>
      <c r="M36" s="1059"/>
      <c r="N36" s="497"/>
      <c r="O36" s="497"/>
      <c r="P36" s="497"/>
      <c r="Q36" s="497"/>
      <c r="R36" s="497"/>
      <c r="S36" s="497"/>
      <c r="T36" s="673"/>
      <c r="U36" s="497"/>
      <c r="V36" s="497"/>
    </row>
    <row r="37" spans="1:22" ht="19.899999999999999" customHeight="1">
      <c r="A37" s="1050"/>
      <c r="B37" s="1057"/>
      <c r="C37" s="407"/>
      <c r="D37" s="1074" t="s">
        <v>103</v>
      </c>
      <c r="E37" s="1075"/>
      <c r="F37" s="1046"/>
      <c r="G37" s="1050"/>
      <c r="H37" s="1050"/>
      <c r="I37" s="1050"/>
      <c r="J37" s="1050"/>
      <c r="K37" s="1050"/>
      <c r="L37" s="1046"/>
      <c r="M37" s="1059"/>
      <c r="N37" s="497"/>
      <c r="O37" s="497"/>
      <c r="P37" s="497"/>
      <c r="Q37" s="497"/>
      <c r="R37" s="497"/>
      <c r="S37" s="497"/>
      <c r="T37" s="673"/>
      <c r="U37" s="497"/>
      <c r="V37" s="497"/>
    </row>
    <row r="38" spans="1:22" ht="19.899999999999999" customHeight="1">
      <c r="A38" s="1050"/>
      <c r="B38" s="1057"/>
      <c r="C38" s="407"/>
      <c r="D38" s="1074" t="s">
        <v>104</v>
      </c>
      <c r="E38" s="1075"/>
      <c r="F38" s="1046"/>
      <c r="G38" s="1050"/>
      <c r="H38" s="1050"/>
      <c r="I38" s="1050"/>
      <c r="J38" s="1050"/>
      <c r="K38" s="1046"/>
      <c r="L38" s="1046"/>
      <c r="M38" s="1059"/>
      <c r="N38" s="497"/>
      <c r="O38" s="497"/>
      <c r="P38" s="497"/>
      <c r="Q38" s="497"/>
      <c r="R38" s="497"/>
      <c r="S38" s="497"/>
      <c r="T38" s="673"/>
      <c r="U38" s="497"/>
      <c r="V38" s="497"/>
    </row>
    <row r="39" spans="1:22" ht="19.899999999999999" customHeight="1">
      <c r="A39" s="1050"/>
      <c r="B39" s="1057"/>
      <c r="C39" s="407"/>
      <c r="D39" s="1074" t="s">
        <v>105</v>
      </c>
      <c r="E39" s="1076"/>
      <c r="F39" s="1046"/>
      <c r="G39" s="1050"/>
      <c r="H39" s="1050"/>
      <c r="I39" s="1050"/>
      <c r="J39" s="1050"/>
      <c r="K39" s="1050"/>
      <c r="L39" s="1046"/>
      <c r="M39" s="1059">
        <v>82754758.120000005</v>
      </c>
      <c r="N39" s="497"/>
      <c r="O39" s="497"/>
      <c r="P39" s="497"/>
      <c r="Q39" s="497"/>
      <c r="R39" s="497"/>
      <c r="S39" s="497"/>
      <c r="T39" s="673"/>
      <c r="U39" s="497"/>
      <c r="V39" s="497"/>
    </row>
    <row r="40" spans="1:22" ht="19.899999999999999" customHeight="1">
      <c r="A40" s="1050"/>
      <c r="B40" s="1057"/>
      <c r="C40" s="407"/>
      <c r="D40" s="1074" t="s">
        <v>106</v>
      </c>
      <c r="E40" s="1075"/>
      <c r="F40" s="1050"/>
      <c r="G40" s="1050"/>
      <c r="H40" s="1050"/>
      <c r="I40" s="1050"/>
      <c r="J40" s="1050"/>
      <c r="K40" s="1050"/>
      <c r="L40" s="1046"/>
      <c r="M40" s="1059"/>
      <c r="N40" s="497"/>
      <c r="O40" s="497"/>
      <c r="P40" s="497"/>
      <c r="Q40" s="497"/>
      <c r="R40" s="497"/>
      <c r="S40" s="497"/>
      <c r="T40" s="673"/>
      <c r="U40" s="497"/>
      <c r="V40" s="497"/>
    </row>
    <row r="41" spans="1:22" ht="19.899999999999999" customHeight="1">
      <c r="A41" s="1050"/>
      <c r="B41" s="1057"/>
      <c r="C41" s="407"/>
      <c r="D41" s="1074" t="s">
        <v>107</v>
      </c>
      <c r="E41" s="1075"/>
      <c r="F41" s="1050"/>
      <c r="G41" s="1050"/>
      <c r="H41" s="1050"/>
      <c r="I41" s="1050"/>
      <c r="J41" s="1050"/>
      <c r="K41" s="1050"/>
      <c r="L41" s="1046"/>
      <c r="M41" s="1059"/>
      <c r="N41" s="497"/>
      <c r="O41" s="497"/>
      <c r="P41" s="497"/>
      <c r="Q41" s="497"/>
      <c r="R41" s="497"/>
      <c r="S41" s="497"/>
      <c r="T41" s="673"/>
      <c r="U41" s="497"/>
      <c r="V41" s="497"/>
    </row>
    <row r="42" spans="1:22" ht="19.899999999999999" customHeight="1">
      <c r="A42" s="1050"/>
      <c r="B42" s="1057"/>
      <c r="C42" s="407"/>
      <c r="D42" s="1074" t="s">
        <v>108</v>
      </c>
      <c r="E42" s="1075"/>
      <c r="F42" s="1050"/>
      <c r="G42" s="1050"/>
      <c r="H42" s="1050"/>
      <c r="I42" s="1050"/>
      <c r="J42" s="1050"/>
      <c r="K42" s="1050"/>
      <c r="L42" s="1046"/>
      <c r="M42" s="1059">
        <v>378114.02</v>
      </c>
      <c r="N42" s="497"/>
      <c r="O42" s="497"/>
      <c r="P42" s="497"/>
      <c r="Q42" s="497"/>
      <c r="R42" s="497"/>
      <c r="S42" s="497"/>
      <c r="T42" s="673"/>
      <c r="U42" s="497"/>
      <c r="V42" s="497"/>
    </row>
    <row r="43" spans="1:22" ht="19.899999999999999" customHeight="1">
      <c r="A43" s="1050"/>
      <c r="B43" s="1057"/>
      <c r="C43" s="407"/>
      <c r="D43" s="1074" t="s">
        <v>109</v>
      </c>
      <c r="E43" s="1075"/>
      <c r="F43" s="1050"/>
      <c r="G43" s="1050"/>
      <c r="H43" s="1050"/>
      <c r="I43" s="1050"/>
      <c r="J43" s="1050"/>
      <c r="K43" s="1050"/>
      <c r="L43" s="1046"/>
      <c r="M43" s="1059">
        <v>33341637.48</v>
      </c>
      <c r="N43" s="497"/>
      <c r="O43" s="497"/>
      <c r="P43" s="497"/>
      <c r="Q43" s="497"/>
      <c r="R43" s="497"/>
      <c r="S43" s="497"/>
      <c r="T43" s="673"/>
      <c r="U43" s="497"/>
      <c r="V43" s="497"/>
    </row>
    <row r="44" spans="1:22" ht="19.899999999999999" customHeight="1">
      <c r="A44" s="1050"/>
      <c r="B44" s="1057"/>
      <c r="C44" s="407"/>
      <c r="D44" s="1077" t="s">
        <v>110</v>
      </c>
      <c r="E44" s="1075"/>
      <c r="F44" s="1050"/>
      <c r="G44" s="1050"/>
      <c r="H44" s="1050"/>
      <c r="I44" s="1050"/>
      <c r="J44" s="1050"/>
      <c r="K44" s="1050"/>
      <c r="L44" s="1046"/>
      <c r="M44" s="1059"/>
      <c r="N44" s="497"/>
      <c r="O44" s="497"/>
      <c r="P44" s="497"/>
      <c r="Q44" s="497"/>
      <c r="R44" s="497"/>
      <c r="S44" s="497"/>
      <c r="T44" s="673"/>
      <c r="U44" s="497"/>
      <c r="V44" s="497"/>
    </row>
    <row r="45" spans="1:22" ht="19.899999999999999" customHeight="1">
      <c r="A45" s="1050"/>
      <c r="B45" s="1057"/>
      <c r="C45" s="407"/>
      <c r="D45" s="1078" t="s">
        <v>317</v>
      </c>
      <c r="E45" s="1075"/>
      <c r="F45" s="1050"/>
      <c r="G45" s="1050"/>
      <c r="H45" s="1050"/>
      <c r="I45" s="1050"/>
      <c r="J45" s="1050"/>
      <c r="K45" s="1050"/>
      <c r="L45" s="1046"/>
      <c r="M45" s="1059">
        <v>11719978.649999999</v>
      </c>
      <c r="N45" s="497"/>
      <c r="O45" s="497"/>
      <c r="P45" s="497"/>
      <c r="Q45" s="497"/>
      <c r="R45" s="497"/>
      <c r="S45" s="497"/>
      <c r="T45" s="673"/>
      <c r="U45" s="497"/>
      <c r="V45" s="497"/>
    </row>
    <row r="46" spans="1:22" ht="19.899999999999999" customHeight="1">
      <c r="A46" s="1050"/>
      <c r="B46" s="1079">
        <f>+B29+1</f>
        <v>5</v>
      </c>
      <c r="C46" s="1080"/>
      <c r="D46" s="1080"/>
      <c r="E46" s="1080"/>
      <c r="F46" s="1080"/>
      <c r="G46" s="1080"/>
      <c r="H46" s="1080"/>
      <c r="I46" s="3" t="s">
        <v>642</v>
      </c>
      <c r="J46" s="1081"/>
      <c r="K46" s="1046"/>
      <c r="L46" s="1046"/>
      <c r="M46" s="1082">
        <f>+M32-SUM(M35:M45)</f>
        <v>2292692.6599999815</v>
      </c>
      <c r="N46" s="497"/>
      <c r="O46" s="497"/>
      <c r="P46" s="497"/>
      <c r="Q46" s="497"/>
      <c r="R46" s="497"/>
      <c r="S46" s="497"/>
      <c r="T46" s="673"/>
      <c r="U46" s="497"/>
      <c r="V46" s="497"/>
    </row>
    <row r="47" spans="1:22" ht="19.899999999999999" customHeight="1">
      <c r="A47" s="1050"/>
      <c r="B47" s="1079"/>
      <c r="C47" s="1080"/>
      <c r="D47" s="1080"/>
      <c r="E47" s="1080"/>
      <c r="F47" s="1080"/>
      <c r="G47" s="1080"/>
      <c r="H47" s="1080"/>
      <c r="I47" s="1080"/>
      <c r="J47" s="1080"/>
      <c r="K47" s="1050"/>
      <c r="L47" s="1083"/>
      <c r="M47" s="1062"/>
      <c r="N47" s="497"/>
      <c r="O47" s="497"/>
      <c r="P47" s="497"/>
      <c r="Q47" s="497"/>
      <c r="R47" s="497"/>
      <c r="S47" s="497"/>
      <c r="T47" s="673"/>
      <c r="U47" s="497"/>
      <c r="V47" s="497"/>
    </row>
    <row r="48" spans="1:22" ht="39.75" customHeight="1">
      <c r="A48" s="1050"/>
      <c r="B48" s="1079">
        <f>+B46+1</f>
        <v>6</v>
      </c>
      <c r="C48" s="2042" t="s">
        <v>593</v>
      </c>
      <c r="D48" s="2042"/>
      <c r="E48" s="2042"/>
      <c r="F48" s="2042"/>
      <c r="G48" s="2042"/>
      <c r="H48" s="2042"/>
      <c r="I48" s="2042"/>
      <c r="J48" s="2042"/>
      <c r="K48" s="1059">
        <v>0</v>
      </c>
      <c r="L48" s="1060"/>
      <c r="M48" s="1059">
        <v>0</v>
      </c>
      <c r="N48" s="497"/>
      <c r="O48" s="497"/>
      <c r="P48" s="497"/>
      <c r="Q48" s="497"/>
      <c r="R48" s="497"/>
      <c r="S48" s="497"/>
      <c r="T48" s="673"/>
      <c r="U48" s="497"/>
      <c r="V48" s="497"/>
    </row>
    <row r="49" spans="1:22" ht="19.899999999999999" customHeight="1">
      <c r="A49" s="1050"/>
      <c r="B49" s="1079"/>
      <c r="C49" s="2"/>
      <c r="D49" s="1084"/>
      <c r="E49" s="1084"/>
      <c r="F49" s="1085"/>
      <c r="G49" s="1086"/>
      <c r="H49" s="1085"/>
      <c r="I49" s="1085"/>
      <c r="J49" s="1085"/>
      <c r="K49" s="1087"/>
      <c r="L49" s="1060"/>
      <c r="M49" s="1087"/>
      <c r="N49" s="497"/>
      <c r="O49" s="497"/>
      <c r="P49" s="497"/>
      <c r="Q49" s="497"/>
      <c r="R49" s="497"/>
      <c r="S49" s="497"/>
      <c r="T49" s="673"/>
      <c r="U49" s="497"/>
      <c r="V49" s="497"/>
    </row>
    <row r="50" spans="1:22" ht="20.5">
      <c r="A50" s="1050"/>
      <c r="B50" s="1079">
        <f>+B48+1</f>
        <v>7</v>
      </c>
      <c r="C50" s="2042" t="s">
        <v>594</v>
      </c>
      <c r="D50" s="2042"/>
      <c r="E50" s="2042"/>
      <c r="F50" s="2042"/>
      <c r="G50" s="2042"/>
      <c r="H50" s="2042"/>
      <c r="I50" s="2042"/>
      <c r="J50" s="2042"/>
      <c r="K50" s="1059">
        <v>0</v>
      </c>
      <c r="L50" s="1060"/>
      <c r="M50" s="1059">
        <v>0</v>
      </c>
      <c r="N50" s="497"/>
      <c r="O50" s="497"/>
      <c r="P50" s="497"/>
      <c r="Q50" s="497"/>
      <c r="R50" s="497"/>
      <c r="S50" s="497"/>
      <c r="T50" s="673"/>
      <c r="U50" s="497"/>
      <c r="V50" s="497"/>
    </row>
    <row r="51" spans="1:22" ht="19.899999999999999" customHeight="1">
      <c r="A51" s="1050"/>
      <c r="B51" s="1079"/>
      <c r="C51" s="3"/>
      <c r="D51" s="1081"/>
      <c r="E51" s="1081"/>
      <c r="F51" s="1080"/>
      <c r="G51" s="1088"/>
      <c r="H51" s="1080"/>
      <c r="I51" s="1080"/>
      <c r="J51" s="1080"/>
      <c r="K51" s="1087"/>
      <c r="L51" s="1060"/>
      <c r="M51" s="1087"/>
      <c r="N51" s="497"/>
      <c r="O51" s="497"/>
      <c r="P51" s="497"/>
      <c r="Q51" s="497"/>
      <c r="R51" s="497"/>
      <c r="S51" s="497"/>
      <c r="T51" s="673"/>
      <c r="U51" s="497"/>
      <c r="V51" s="497"/>
    </row>
    <row r="52" spans="1:22" ht="20.25" customHeight="1" thickBot="1">
      <c r="A52" s="1050"/>
      <c r="B52" s="1079">
        <f>+B50+1</f>
        <v>8</v>
      </c>
      <c r="C52" s="3" t="str">
        <f>"Total Revenue Credits - Sum lines "&amp;B12&amp;" through "&amp;B50&amp;""</f>
        <v>Total Revenue Credits - Sum lines 1 through 7</v>
      </c>
      <c r="D52" s="1081"/>
      <c r="E52" s="1081"/>
      <c r="F52" s="1080"/>
      <c r="G52" s="1081"/>
      <c r="H52" s="1081"/>
      <c r="I52" s="1080"/>
      <c r="J52" s="1080"/>
      <c r="K52" s="1050"/>
      <c r="L52" s="1050"/>
      <c r="M52" s="1089">
        <f>+M12+M14+M22+M29+M46+M48+M50</f>
        <v>5046052.139999982</v>
      </c>
      <c r="N52" s="497"/>
      <c r="O52" s="497"/>
      <c r="P52" s="497"/>
      <c r="Q52" s="497"/>
      <c r="R52" s="497"/>
      <c r="S52" s="497"/>
      <c r="T52" s="550"/>
      <c r="U52" s="497"/>
      <c r="V52" s="497"/>
    </row>
    <row r="53" spans="1:22" ht="19.899999999999999" customHeight="1" thickTop="1">
      <c r="A53" s="1050"/>
      <c r="B53" s="1050"/>
      <c r="C53" s="1050"/>
      <c r="D53" s="57"/>
      <c r="E53" s="1050"/>
      <c r="F53" s="1050"/>
      <c r="G53" s="1050"/>
      <c r="H53" s="1050"/>
      <c r="I53" s="1050"/>
      <c r="J53" s="1050"/>
      <c r="K53" s="1050"/>
      <c r="L53" s="1083"/>
      <c r="M53" s="497"/>
      <c r="N53" s="497"/>
      <c r="O53" s="497"/>
      <c r="P53" s="497"/>
      <c r="Q53" s="497"/>
      <c r="R53" s="497"/>
      <c r="S53" s="497"/>
      <c r="T53" s="673"/>
      <c r="U53" s="497"/>
      <c r="V53" s="497"/>
    </row>
    <row r="54" spans="1:22" ht="20">
      <c r="A54" s="1050"/>
      <c r="B54" s="1090"/>
      <c r="C54" s="1090"/>
      <c r="D54" s="1046"/>
      <c r="E54" s="1046"/>
      <c r="F54" s="1091"/>
      <c r="G54" s="1091"/>
      <c r="H54" s="1091"/>
      <c r="I54" s="1091"/>
      <c r="J54" s="1091"/>
      <c r="K54" s="1091"/>
      <c r="L54" s="1092"/>
      <c r="M54" s="497"/>
      <c r="N54" s="889"/>
      <c r="O54" s="889"/>
      <c r="P54" s="889"/>
      <c r="Q54" s="889"/>
      <c r="R54" s="599"/>
      <c r="S54" s="599"/>
      <c r="T54" s="497"/>
      <c r="U54" s="497"/>
      <c r="V54" s="497"/>
    </row>
    <row r="55" spans="1:22" ht="13">
      <c r="A55" s="1050"/>
      <c r="B55" s="1050"/>
      <c r="C55" s="1046"/>
      <c r="D55" s="1046"/>
      <c r="E55" s="1046"/>
      <c r="F55" s="1091"/>
      <c r="G55" s="1091"/>
      <c r="H55" s="1091"/>
      <c r="I55" s="1091"/>
      <c r="J55" s="1091"/>
      <c r="K55" s="1091"/>
      <c r="L55" s="1050"/>
      <c r="M55" s="497"/>
      <c r="N55" s="889"/>
      <c r="O55" s="889"/>
      <c r="P55" s="889"/>
      <c r="Q55" s="889"/>
      <c r="R55" s="497"/>
      <c r="S55" s="497"/>
      <c r="T55" s="497"/>
      <c r="U55" s="497"/>
      <c r="V55" s="497"/>
    </row>
    <row r="56" spans="1:22">
      <c r="A56" s="1050"/>
      <c r="B56" s="1050"/>
      <c r="C56" s="1062" t="s">
        <v>595</v>
      </c>
      <c r="E56" s="1046"/>
      <c r="F56" s="1091"/>
      <c r="G56" s="1091"/>
      <c r="H56" s="1091"/>
      <c r="I56" s="1091"/>
      <c r="J56" s="1091"/>
      <c r="K56" s="1091"/>
      <c r="L56" s="1050"/>
      <c r="M56" s="497"/>
      <c r="N56" s="889"/>
      <c r="O56" s="889"/>
      <c r="P56" s="889"/>
      <c r="Q56" s="889"/>
      <c r="R56" s="497"/>
      <c r="S56" s="497"/>
      <c r="T56" s="497"/>
      <c r="U56" s="497"/>
      <c r="V56" s="497"/>
    </row>
    <row r="57" spans="1:22" ht="12.75" customHeight="1">
      <c r="A57" s="497"/>
      <c r="B57" s="497"/>
      <c r="C57" s="497"/>
      <c r="D57" s="497"/>
      <c r="E57" s="497"/>
      <c r="F57" s="497"/>
      <c r="G57" s="497"/>
      <c r="H57" s="497"/>
      <c r="I57" s="497"/>
      <c r="J57" s="497"/>
      <c r="K57" s="497"/>
      <c r="L57" s="497"/>
      <c r="M57" s="497"/>
      <c r="N57" s="497"/>
      <c r="O57" s="497"/>
      <c r="P57" s="497"/>
      <c r="Q57" s="497"/>
      <c r="R57" s="497"/>
      <c r="S57" s="497"/>
      <c r="T57" s="497"/>
      <c r="U57" s="497"/>
      <c r="V57" s="497"/>
    </row>
    <row r="58" spans="1:22" ht="12.75" customHeight="1">
      <c r="A58" s="497"/>
      <c r="B58" s="497"/>
      <c r="C58" s="497"/>
      <c r="D58" s="497"/>
      <c r="E58" s="497"/>
      <c r="F58" s="497"/>
      <c r="G58" s="497"/>
      <c r="H58" s="497"/>
      <c r="I58" s="497"/>
      <c r="J58" s="497"/>
      <c r="K58" s="497"/>
      <c r="L58" s="497"/>
      <c r="M58" s="497"/>
      <c r="N58" s="497"/>
      <c r="O58" s="497"/>
      <c r="P58" s="497"/>
      <c r="Q58" s="497"/>
      <c r="R58" s="497"/>
      <c r="S58" s="497"/>
      <c r="T58" s="497"/>
      <c r="U58" s="497"/>
      <c r="V58" s="497"/>
    </row>
    <row r="59" spans="1:22" ht="12.75" customHeight="1">
      <c r="A59" s="497"/>
      <c r="B59" s="497"/>
      <c r="C59" s="497"/>
      <c r="D59" s="497"/>
      <c r="E59" s="497"/>
      <c r="F59" s="497"/>
      <c r="G59" s="497"/>
      <c r="H59" s="497"/>
      <c r="I59" s="497"/>
      <c r="J59" s="497"/>
      <c r="K59" s="497"/>
      <c r="L59" s="497"/>
      <c r="M59" s="497"/>
      <c r="N59" s="497"/>
      <c r="O59" s="497"/>
      <c r="P59" s="497"/>
      <c r="Q59" s="497"/>
      <c r="R59" s="497"/>
      <c r="S59" s="497"/>
      <c r="T59" s="497"/>
      <c r="U59" s="497"/>
      <c r="V59" s="497"/>
    </row>
    <row r="60" spans="1:22" ht="12.75" customHeight="1">
      <c r="A60" s="497"/>
      <c r="B60" s="497"/>
      <c r="C60" s="497"/>
      <c r="D60" s="497"/>
      <c r="E60" s="497"/>
      <c r="F60" s="497"/>
      <c r="G60" s="497"/>
      <c r="H60" s="497"/>
      <c r="I60" s="497"/>
      <c r="J60" s="497"/>
      <c r="K60" s="497"/>
      <c r="L60" s="497"/>
      <c r="M60" s="497"/>
      <c r="N60" s="497"/>
      <c r="O60" s="497"/>
      <c r="P60" s="497"/>
      <c r="Q60" s="497"/>
      <c r="R60" s="497"/>
      <c r="S60" s="497"/>
      <c r="T60" s="497"/>
      <c r="U60" s="497"/>
      <c r="V60" s="497"/>
    </row>
    <row r="61" spans="1:22" ht="12.75" customHeight="1">
      <c r="A61" s="497"/>
      <c r="B61" s="497"/>
      <c r="C61" s="497"/>
      <c r="D61" s="497"/>
      <c r="E61" s="497"/>
      <c r="F61" s="497"/>
      <c r="G61" s="497"/>
      <c r="H61" s="497"/>
      <c r="I61" s="497"/>
      <c r="J61" s="497"/>
      <c r="K61" s="497"/>
      <c r="L61" s="497"/>
      <c r="M61" s="497"/>
      <c r="N61" s="497"/>
      <c r="O61" s="497"/>
      <c r="P61" s="497"/>
      <c r="Q61" s="497"/>
      <c r="R61" s="497"/>
      <c r="S61" s="497"/>
      <c r="T61" s="497"/>
      <c r="U61" s="497"/>
      <c r="V61" s="497"/>
    </row>
    <row r="62" spans="1:22" ht="12.75" customHeight="1">
      <c r="A62" s="497"/>
      <c r="B62" s="497"/>
      <c r="C62" s="497"/>
      <c r="D62" s="497"/>
      <c r="E62" s="497"/>
      <c r="F62" s="497"/>
      <c r="G62" s="497"/>
      <c r="H62" s="497"/>
      <c r="I62" s="497"/>
      <c r="J62" s="497"/>
      <c r="K62" s="497"/>
      <c r="L62" s="497"/>
      <c r="M62" s="497"/>
      <c r="N62" s="497"/>
      <c r="O62" s="497"/>
      <c r="P62" s="497"/>
      <c r="Q62" s="497"/>
      <c r="R62" s="497"/>
      <c r="S62" s="497"/>
      <c r="T62" s="497"/>
      <c r="U62" s="497"/>
      <c r="V62" s="497"/>
    </row>
    <row r="63" spans="1:22" ht="12.75" customHeight="1">
      <c r="A63" s="497"/>
      <c r="B63" s="497"/>
      <c r="C63" s="497"/>
      <c r="D63" s="497"/>
      <c r="E63" s="497"/>
      <c r="F63" s="497"/>
      <c r="G63" s="497"/>
      <c r="H63" s="497"/>
      <c r="I63" s="497"/>
      <c r="J63" s="497"/>
      <c r="K63" s="497"/>
      <c r="L63" s="497"/>
      <c r="M63" s="497"/>
      <c r="N63" s="497"/>
      <c r="O63" s="497"/>
      <c r="P63" s="497"/>
      <c r="Q63" s="497"/>
      <c r="R63" s="497"/>
      <c r="S63" s="497"/>
      <c r="T63" s="497"/>
      <c r="U63" s="497"/>
      <c r="V63" s="497"/>
    </row>
    <row r="64" spans="1:22" ht="12.75" customHeight="1">
      <c r="A64" s="497"/>
      <c r="B64" s="497"/>
      <c r="C64" s="497"/>
      <c r="D64" s="497"/>
      <c r="E64" s="497"/>
      <c r="F64" s="497"/>
      <c r="G64" s="497"/>
      <c r="H64" s="497"/>
      <c r="I64" s="497"/>
      <c r="J64" s="497"/>
      <c r="K64" s="497"/>
      <c r="L64" s="497"/>
      <c r="M64" s="497"/>
      <c r="N64" s="497"/>
      <c r="O64" s="497"/>
      <c r="P64" s="497"/>
      <c r="Q64" s="497"/>
      <c r="R64" s="497"/>
      <c r="S64" s="497"/>
      <c r="T64" s="497"/>
      <c r="U64" s="497"/>
      <c r="V64" s="497"/>
    </row>
    <row r="65" spans="1:22" ht="12.75" customHeight="1">
      <c r="A65" s="497"/>
      <c r="B65" s="497"/>
      <c r="C65" s="497"/>
      <c r="D65" s="497"/>
      <c r="E65" s="497"/>
      <c r="F65" s="497"/>
      <c r="G65" s="497"/>
      <c r="H65" s="497"/>
      <c r="I65" s="497"/>
      <c r="J65" s="497"/>
      <c r="K65" s="497"/>
      <c r="L65" s="497"/>
      <c r="M65" s="497"/>
      <c r="N65" s="497"/>
      <c r="O65" s="497"/>
      <c r="P65" s="497"/>
      <c r="Q65" s="497"/>
      <c r="R65" s="497"/>
      <c r="S65" s="497"/>
      <c r="T65" s="497"/>
      <c r="U65" s="497"/>
      <c r="V65" s="497"/>
    </row>
    <row r="66" spans="1:22" ht="12.5">
      <c r="A66" s="497"/>
      <c r="B66" s="497"/>
      <c r="C66" s="497"/>
      <c r="D66" s="497"/>
      <c r="E66" s="497"/>
      <c r="F66" s="497"/>
      <c r="G66" s="497"/>
      <c r="H66" s="497"/>
      <c r="I66" s="497"/>
      <c r="J66" s="497"/>
      <c r="K66" s="497"/>
      <c r="L66" s="497"/>
      <c r="M66" s="497"/>
      <c r="N66" s="497"/>
      <c r="O66" s="497"/>
      <c r="P66" s="497"/>
      <c r="Q66" s="497"/>
      <c r="R66" s="497"/>
      <c r="S66" s="497"/>
      <c r="T66" s="497"/>
      <c r="U66" s="497"/>
      <c r="V66" s="497"/>
    </row>
    <row r="67" spans="1:22" ht="12.5">
      <c r="A67" s="497"/>
      <c r="B67" s="497"/>
      <c r="C67" s="497"/>
      <c r="D67" s="497"/>
      <c r="E67" s="497"/>
      <c r="F67" s="497"/>
      <c r="G67" s="497"/>
      <c r="H67" s="497"/>
      <c r="I67" s="497"/>
      <c r="J67" s="497"/>
      <c r="K67" s="497"/>
      <c r="L67" s="497"/>
      <c r="M67" s="497"/>
      <c r="N67" s="497"/>
      <c r="O67" s="497"/>
      <c r="P67" s="497"/>
      <c r="Q67" s="497"/>
      <c r="R67" s="497"/>
      <c r="S67" s="497"/>
      <c r="T67" s="497"/>
      <c r="U67" s="497"/>
      <c r="V67" s="497"/>
    </row>
    <row r="68" spans="1:22" ht="12.5">
      <c r="A68" s="497"/>
      <c r="B68" s="497"/>
      <c r="C68" s="497"/>
      <c r="D68" s="497"/>
      <c r="E68" s="497"/>
      <c r="F68" s="497"/>
      <c r="G68" s="497"/>
      <c r="H68" s="497"/>
      <c r="I68" s="497"/>
      <c r="J68" s="497"/>
      <c r="K68" s="497"/>
      <c r="L68" s="497"/>
      <c r="M68" s="497"/>
      <c r="N68" s="497"/>
      <c r="O68" s="497"/>
      <c r="P68" s="497"/>
      <c r="Q68" s="497"/>
      <c r="R68" s="497"/>
      <c r="S68" s="497"/>
      <c r="T68" s="497"/>
      <c r="U68" s="497"/>
      <c r="V68" s="497"/>
    </row>
    <row r="69" spans="1:22" ht="12.5">
      <c r="A69" s="497"/>
      <c r="B69" s="497"/>
      <c r="C69" s="497"/>
      <c r="D69" s="497"/>
      <c r="E69" s="497"/>
      <c r="F69" s="497"/>
      <c r="G69" s="497"/>
      <c r="H69" s="497"/>
      <c r="I69" s="497"/>
      <c r="J69" s="497"/>
      <c r="K69" s="497"/>
      <c r="L69" s="497"/>
      <c r="M69" s="497"/>
      <c r="N69" s="497"/>
      <c r="O69" s="497"/>
      <c r="P69" s="497"/>
      <c r="Q69" s="497"/>
      <c r="R69" s="497"/>
      <c r="S69" s="497"/>
      <c r="T69" s="497"/>
      <c r="U69" s="497"/>
      <c r="V69" s="497"/>
    </row>
    <row r="70" spans="1:22" ht="12.5">
      <c r="A70" s="497"/>
      <c r="B70" s="497"/>
      <c r="C70" s="497"/>
      <c r="D70" s="497"/>
      <c r="E70" s="497"/>
      <c r="F70" s="497"/>
      <c r="G70" s="497"/>
      <c r="H70" s="497"/>
      <c r="I70" s="497"/>
      <c r="J70" s="497"/>
      <c r="K70" s="497"/>
      <c r="L70" s="497"/>
      <c r="M70" s="497"/>
      <c r="N70" s="497"/>
      <c r="O70" s="497"/>
      <c r="P70" s="497"/>
      <c r="Q70" s="497"/>
      <c r="R70" s="497"/>
      <c r="S70" s="497"/>
      <c r="T70" s="497"/>
      <c r="U70" s="497"/>
      <c r="V70" s="497"/>
    </row>
    <row r="71" spans="1:22" ht="12.5">
      <c r="A71" s="497"/>
      <c r="B71" s="497"/>
      <c r="C71" s="497"/>
      <c r="D71" s="497"/>
      <c r="E71" s="497"/>
      <c r="F71" s="497"/>
      <c r="G71" s="497"/>
      <c r="H71" s="497"/>
      <c r="I71" s="497"/>
      <c r="J71" s="497"/>
      <c r="K71" s="497"/>
      <c r="L71" s="497"/>
      <c r="M71" s="497"/>
      <c r="N71" s="497"/>
      <c r="O71" s="497"/>
      <c r="P71" s="497"/>
      <c r="Q71" s="497"/>
      <c r="R71" s="497"/>
      <c r="S71" s="497"/>
      <c r="T71" s="497"/>
      <c r="U71" s="497"/>
      <c r="V71" s="497"/>
    </row>
    <row r="72" spans="1:22" ht="12.5">
      <c r="A72" s="497"/>
      <c r="B72" s="497"/>
      <c r="C72" s="497"/>
      <c r="D72" s="497"/>
      <c r="E72" s="497"/>
      <c r="F72" s="497"/>
      <c r="G72" s="497"/>
      <c r="H72" s="497"/>
      <c r="I72" s="497"/>
      <c r="J72" s="497"/>
      <c r="K72" s="497"/>
      <c r="L72" s="497"/>
      <c r="M72" s="497"/>
      <c r="N72" s="497"/>
      <c r="O72" s="497"/>
      <c r="P72" s="497"/>
      <c r="Q72" s="497"/>
      <c r="R72" s="497"/>
      <c r="S72" s="497"/>
      <c r="T72" s="497"/>
      <c r="U72" s="497"/>
      <c r="V72" s="497"/>
    </row>
    <row r="73" spans="1:22" ht="12.5">
      <c r="A73" s="497"/>
      <c r="B73" s="497"/>
      <c r="C73" s="497"/>
      <c r="D73" s="497"/>
      <c r="E73" s="497"/>
      <c r="F73" s="497"/>
      <c r="G73" s="497"/>
      <c r="H73" s="497"/>
      <c r="I73" s="497"/>
      <c r="J73" s="497"/>
      <c r="K73" s="497"/>
      <c r="L73" s="497"/>
      <c r="M73" s="497"/>
      <c r="N73" s="497"/>
      <c r="O73" s="497"/>
      <c r="P73" s="497"/>
      <c r="Q73" s="497"/>
      <c r="R73" s="497"/>
      <c r="S73" s="497"/>
      <c r="T73" s="497"/>
      <c r="U73" s="497"/>
      <c r="V73" s="497"/>
    </row>
    <row r="74" spans="1:22" ht="12.5">
      <c r="A74" s="497"/>
      <c r="B74" s="497"/>
      <c r="C74" s="497"/>
      <c r="D74" s="497"/>
      <c r="E74" s="497"/>
      <c r="F74" s="497"/>
      <c r="G74" s="497"/>
      <c r="H74" s="497"/>
      <c r="I74" s="497"/>
      <c r="J74" s="497"/>
      <c r="K74" s="497"/>
      <c r="L74" s="497"/>
      <c r="M74" s="497"/>
      <c r="N74" s="497"/>
      <c r="O74" s="497"/>
      <c r="P74" s="497"/>
      <c r="Q74" s="497"/>
      <c r="R74" s="497"/>
      <c r="S74" s="497"/>
      <c r="T74" s="497"/>
      <c r="U74" s="497"/>
      <c r="V74" s="497"/>
    </row>
    <row r="75" spans="1:22" ht="12.5">
      <c r="A75" s="497"/>
      <c r="B75" s="497"/>
      <c r="C75" s="497"/>
      <c r="D75" s="497"/>
      <c r="E75" s="497"/>
      <c r="F75" s="497"/>
      <c r="G75" s="497"/>
      <c r="H75" s="497"/>
      <c r="I75" s="497"/>
      <c r="J75" s="497"/>
      <c r="K75" s="497"/>
      <c r="L75" s="497"/>
      <c r="M75" s="497"/>
      <c r="N75" s="497"/>
      <c r="O75" s="497"/>
      <c r="P75" s="497"/>
      <c r="Q75" s="497"/>
      <c r="R75" s="497"/>
      <c r="S75" s="497"/>
      <c r="T75" s="497"/>
      <c r="U75" s="497"/>
      <c r="V75" s="497"/>
    </row>
    <row r="76" spans="1:22" ht="12.5">
      <c r="A76" s="497"/>
      <c r="B76" s="497"/>
      <c r="C76" s="497"/>
      <c r="D76" s="497"/>
      <c r="E76" s="497"/>
      <c r="F76" s="497"/>
      <c r="G76" s="497"/>
      <c r="H76" s="497"/>
      <c r="I76" s="497"/>
      <c r="J76" s="497"/>
      <c r="K76" s="497"/>
      <c r="L76" s="497"/>
      <c r="M76" s="497"/>
      <c r="N76" s="497"/>
      <c r="O76" s="497"/>
      <c r="P76" s="497"/>
      <c r="Q76" s="497"/>
      <c r="R76" s="497"/>
      <c r="S76" s="497"/>
      <c r="T76" s="497"/>
      <c r="U76" s="497"/>
      <c r="V76" s="497"/>
    </row>
    <row r="77" spans="1:22" ht="12.5">
      <c r="A77" s="497"/>
      <c r="B77" s="497"/>
      <c r="C77" s="497"/>
      <c r="D77" s="497"/>
      <c r="E77" s="497"/>
      <c r="F77" s="497"/>
      <c r="G77" s="497"/>
      <c r="H77" s="497"/>
      <c r="I77" s="497"/>
      <c r="J77" s="497"/>
      <c r="K77" s="497"/>
      <c r="L77" s="497"/>
      <c r="M77" s="497"/>
      <c r="N77" s="497"/>
      <c r="O77" s="497"/>
      <c r="P77" s="497"/>
      <c r="Q77" s="497"/>
      <c r="R77" s="497"/>
      <c r="S77" s="497"/>
      <c r="T77" s="497"/>
      <c r="U77" s="497"/>
      <c r="V77" s="497"/>
    </row>
    <row r="78" spans="1:22" ht="12.5">
      <c r="A78" s="497"/>
      <c r="B78" s="497"/>
      <c r="C78" s="497"/>
      <c r="D78" s="497"/>
      <c r="E78" s="497"/>
      <c r="F78" s="497"/>
      <c r="G78" s="497"/>
      <c r="H78" s="497"/>
      <c r="I78" s="497"/>
      <c r="J78" s="497"/>
      <c r="K78" s="497"/>
      <c r="L78" s="497"/>
      <c r="M78" s="497"/>
      <c r="N78" s="497"/>
      <c r="O78" s="497"/>
      <c r="P78" s="497"/>
      <c r="Q78" s="497"/>
      <c r="R78" s="497"/>
      <c r="S78" s="497"/>
      <c r="T78" s="497"/>
      <c r="U78" s="497"/>
      <c r="V78" s="497"/>
    </row>
    <row r="79" spans="1:22" ht="12.5">
      <c r="A79" s="497"/>
      <c r="B79" s="497"/>
      <c r="C79" s="497"/>
      <c r="D79" s="497"/>
      <c r="E79" s="497"/>
      <c r="F79" s="497"/>
      <c r="G79" s="497"/>
      <c r="H79" s="497"/>
      <c r="I79" s="497"/>
      <c r="J79" s="497"/>
      <c r="K79" s="497"/>
      <c r="L79" s="497"/>
      <c r="M79" s="497"/>
      <c r="N79" s="497"/>
      <c r="O79" s="497"/>
      <c r="P79" s="497"/>
      <c r="Q79" s="497"/>
      <c r="R79" s="497"/>
      <c r="S79" s="497"/>
      <c r="T79" s="497"/>
      <c r="U79" s="497"/>
      <c r="V79" s="497"/>
    </row>
    <row r="80" spans="1:22" ht="12.5">
      <c r="A80" s="497"/>
      <c r="B80" s="497"/>
      <c r="C80" s="497"/>
      <c r="D80" s="497"/>
      <c r="E80" s="497"/>
      <c r="F80" s="497"/>
      <c r="G80" s="497"/>
      <c r="H80" s="497"/>
      <c r="I80" s="497"/>
      <c r="J80" s="497"/>
      <c r="K80" s="497"/>
      <c r="L80" s="497"/>
      <c r="M80" s="497"/>
      <c r="N80" s="497"/>
      <c r="O80" s="497"/>
      <c r="P80" s="497"/>
      <c r="Q80" s="497"/>
      <c r="R80" s="497"/>
      <c r="S80" s="497"/>
      <c r="T80" s="497"/>
      <c r="U80" s="497"/>
      <c r="V80" s="497"/>
    </row>
    <row r="81" spans="1:22" ht="12.5">
      <c r="A81" s="497"/>
      <c r="B81" s="497"/>
      <c r="C81" s="497"/>
      <c r="D81" s="497"/>
      <c r="E81" s="497"/>
      <c r="F81" s="497"/>
      <c r="G81" s="497"/>
      <c r="H81" s="497"/>
      <c r="I81" s="497"/>
      <c r="J81" s="497"/>
      <c r="K81" s="497"/>
      <c r="L81" s="497"/>
      <c r="M81" s="497"/>
      <c r="N81" s="497"/>
      <c r="O81" s="497"/>
      <c r="P81" s="497"/>
      <c r="Q81" s="497"/>
      <c r="R81" s="497"/>
      <c r="S81" s="497"/>
      <c r="T81" s="497"/>
      <c r="U81" s="497"/>
      <c r="V81" s="497"/>
    </row>
    <row r="82" spans="1:22" ht="12.5">
      <c r="A82" s="497"/>
      <c r="B82" s="497"/>
      <c r="C82" s="497"/>
      <c r="D82" s="497"/>
      <c r="E82" s="497"/>
      <c r="F82" s="497"/>
      <c r="G82" s="497"/>
      <c r="H82" s="497"/>
      <c r="I82" s="497"/>
      <c r="J82" s="497"/>
      <c r="K82" s="497"/>
      <c r="L82" s="497"/>
      <c r="M82" s="497"/>
      <c r="N82" s="497"/>
      <c r="O82" s="497"/>
      <c r="P82" s="497"/>
      <c r="Q82" s="497"/>
      <c r="R82" s="497"/>
      <c r="S82" s="497"/>
      <c r="T82" s="497"/>
      <c r="U82" s="497"/>
      <c r="V82" s="497"/>
    </row>
    <row r="83" spans="1:22" ht="12.5">
      <c r="A83" s="497"/>
      <c r="B83" s="497"/>
      <c r="C83" s="497"/>
      <c r="D83" s="497"/>
      <c r="E83" s="497"/>
      <c r="F83" s="497"/>
      <c r="G83" s="497"/>
      <c r="H83" s="497"/>
      <c r="I83" s="497"/>
      <c r="J83" s="497"/>
      <c r="K83" s="497"/>
      <c r="L83" s="497"/>
      <c r="M83" s="497"/>
      <c r="N83" s="497"/>
      <c r="O83" s="497"/>
      <c r="P83" s="497"/>
      <c r="Q83" s="497"/>
      <c r="R83" s="497"/>
      <c r="S83" s="497"/>
      <c r="T83" s="497"/>
      <c r="U83" s="497"/>
      <c r="V83" s="497"/>
    </row>
    <row r="84" spans="1:22" ht="12.5">
      <c r="A84" s="497"/>
      <c r="B84" s="497"/>
      <c r="C84" s="497"/>
      <c r="D84" s="497"/>
      <c r="E84" s="497"/>
      <c r="F84" s="497"/>
      <c r="G84" s="497"/>
      <c r="H84" s="497"/>
      <c r="I84" s="497"/>
      <c r="J84" s="497"/>
      <c r="K84" s="497"/>
      <c r="L84" s="497"/>
      <c r="M84" s="497"/>
      <c r="N84" s="497"/>
      <c r="O84" s="497"/>
      <c r="P84" s="497"/>
      <c r="Q84" s="497"/>
      <c r="R84" s="497"/>
      <c r="S84" s="497"/>
      <c r="T84" s="497"/>
      <c r="U84" s="497"/>
      <c r="V84" s="497"/>
    </row>
    <row r="85" spans="1:22" ht="12.5">
      <c r="A85" s="497"/>
      <c r="B85" s="497"/>
      <c r="C85" s="497"/>
      <c r="D85" s="497"/>
      <c r="E85" s="497"/>
      <c r="F85" s="497"/>
      <c r="G85" s="497"/>
      <c r="H85" s="497"/>
      <c r="I85" s="497"/>
      <c r="J85" s="497"/>
      <c r="K85" s="497"/>
      <c r="L85" s="497"/>
      <c r="M85" s="497"/>
      <c r="N85" s="497"/>
      <c r="O85" s="497"/>
      <c r="P85" s="497"/>
      <c r="Q85" s="497"/>
      <c r="R85" s="497"/>
      <c r="S85" s="497"/>
      <c r="T85" s="497"/>
      <c r="U85" s="497"/>
      <c r="V85" s="497"/>
    </row>
    <row r="86" spans="1:22" ht="12.75" customHeight="1">
      <c r="A86" s="497"/>
      <c r="B86" s="497"/>
      <c r="C86" s="497"/>
      <c r="D86" s="497"/>
      <c r="E86" s="497"/>
      <c r="F86" s="497"/>
      <c r="G86" s="497"/>
      <c r="H86" s="497"/>
      <c r="I86" s="497"/>
      <c r="J86" s="497"/>
      <c r="K86" s="497"/>
      <c r="L86" s="497"/>
      <c r="M86" s="497"/>
      <c r="N86" s="497"/>
      <c r="O86" s="497"/>
      <c r="P86" s="497"/>
      <c r="Q86" s="497"/>
      <c r="R86" s="497"/>
      <c r="S86" s="497"/>
      <c r="T86" s="497"/>
      <c r="U86" s="497"/>
      <c r="V86" s="497"/>
    </row>
    <row r="87" spans="1:22" ht="12.75" customHeight="1">
      <c r="A87" s="497"/>
      <c r="B87" s="497"/>
      <c r="C87" s="497"/>
      <c r="D87" s="497"/>
      <c r="E87" s="497"/>
      <c r="F87" s="497"/>
      <c r="G87" s="497"/>
      <c r="H87" s="497"/>
      <c r="I87" s="497"/>
      <c r="J87" s="497"/>
      <c r="K87" s="497"/>
      <c r="L87" s="497"/>
      <c r="M87" s="497"/>
      <c r="N87" s="497"/>
      <c r="O87" s="497"/>
      <c r="P87" s="497"/>
      <c r="Q87" s="497"/>
      <c r="R87" s="497"/>
      <c r="S87" s="497"/>
      <c r="T87" s="497"/>
      <c r="U87" s="497"/>
      <c r="V87" s="497"/>
    </row>
    <row r="88" spans="1:22" ht="12.75" customHeight="1">
      <c r="A88" s="497"/>
      <c r="B88" s="497"/>
      <c r="C88" s="497"/>
      <c r="D88" s="497"/>
      <c r="E88" s="497"/>
      <c r="F88" s="497"/>
      <c r="G88" s="497"/>
      <c r="H88" s="497"/>
      <c r="I88" s="497"/>
      <c r="J88" s="497"/>
      <c r="K88" s="497"/>
      <c r="L88" s="497"/>
      <c r="M88" s="497"/>
      <c r="N88" s="497"/>
      <c r="O88" s="497"/>
      <c r="P88" s="497"/>
      <c r="Q88" s="497"/>
      <c r="R88" s="497"/>
      <c r="S88" s="497"/>
      <c r="T88" s="497"/>
      <c r="U88" s="497"/>
      <c r="V88" s="497"/>
    </row>
    <row r="89" spans="1:22" ht="12.5">
      <c r="A89" s="497"/>
      <c r="B89" s="497"/>
      <c r="C89" s="497"/>
      <c r="D89" s="497"/>
      <c r="E89" s="497"/>
      <c r="F89" s="497"/>
      <c r="G89" s="497"/>
      <c r="H89" s="497"/>
      <c r="I89" s="497"/>
      <c r="J89" s="497"/>
      <c r="K89" s="497"/>
      <c r="L89" s="497"/>
      <c r="M89" s="497"/>
      <c r="N89" s="497"/>
      <c r="O89" s="497"/>
      <c r="P89" s="497"/>
      <c r="Q89" s="497"/>
      <c r="R89" s="497"/>
      <c r="S89" s="497"/>
      <c r="T89" s="497"/>
      <c r="U89" s="497"/>
      <c r="V89" s="497"/>
    </row>
    <row r="90" spans="1:22" ht="12.5">
      <c r="A90" s="497"/>
      <c r="B90" s="497"/>
      <c r="C90" s="497"/>
      <c r="D90" s="497"/>
      <c r="E90" s="497"/>
      <c r="F90" s="497"/>
      <c r="G90" s="497"/>
      <c r="H90" s="497"/>
      <c r="I90" s="497"/>
      <c r="J90" s="497"/>
      <c r="K90" s="497"/>
      <c r="L90" s="497"/>
      <c r="M90" s="497"/>
      <c r="N90" s="497"/>
      <c r="O90" s="497"/>
      <c r="P90" s="497"/>
      <c r="Q90" s="497"/>
      <c r="R90" s="497"/>
      <c r="S90" s="497"/>
      <c r="T90" s="497"/>
      <c r="U90" s="497"/>
      <c r="V90" s="497"/>
    </row>
    <row r="91" spans="1:22" ht="12.5">
      <c r="A91" s="497"/>
      <c r="B91" s="497"/>
      <c r="C91" s="497"/>
      <c r="D91" s="497"/>
      <c r="E91" s="497"/>
      <c r="F91" s="497"/>
      <c r="G91" s="497"/>
      <c r="H91" s="497"/>
      <c r="I91" s="497"/>
      <c r="J91" s="497"/>
      <c r="K91" s="497"/>
      <c r="L91" s="497"/>
      <c r="M91" s="497"/>
      <c r="N91" s="497"/>
      <c r="O91" s="497"/>
      <c r="P91" s="497"/>
      <c r="Q91" s="497"/>
      <c r="R91" s="497"/>
      <c r="S91" s="497"/>
      <c r="T91" s="497"/>
      <c r="U91" s="497"/>
      <c r="V91" s="497"/>
    </row>
    <row r="92" spans="1:22" ht="12.5">
      <c r="A92" s="497"/>
      <c r="B92" s="497"/>
      <c r="C92" s="497"/>
      <c r="D92" s="497"/>
      <c r="E92" s="497"/>
      <c r="F92" s="497"/>
      <c r="G92" s="497"/>
      <c r="H92" s="497"/>
      <c r="I92" s="497"/>
      <c r="J92" s="497"/>
      <c r="K92" s="497"/>
      <c r="L92" s="497"/>
      <c r="M92" s="497"/>
      <c r="N92" s="497"/>
      <c r="O92" s="497"/>
      <c r="P92" s="497"/>
      <c r="Q92" s="497"/>
      <c r="R92" s="497"/>
      <c r="S92" s="497"/>
      <c r="T92" s="497"/>
      <c r="U92" s="497"/>
      <c r="V92" s="497"/>
    </row>
    <row r="93" spans="1:22" ht="12.5">
      <c r="A93" s="497"/>
      <c r="B93" s="497"/>
      <c r="C93" s="497"/>
      <c r="D93" s="497"/>
      <c r="E93" s="497"/>
      <c r="F93" s="497"/>
      <c r="G93" s="497"/>
      <c r="H93" s="497"/>
      <c r="I93" s="497"/>
      <c r="J93" s="497"/>
      <c r="K93" s="497"/>
      <c r="L93" s="497"/>
      <c r="M93" s="497"/>
      <c r="N93" s="497"/>
      <c r="O93" s="497"/>
      <c r="P93" s="497"/>
      <c r="Q93" s="497"/>
      <c r="R93" s="497"/>
      <c r="S93" s="497"/>
      <c r="T93" s="497"/>
      <c r="U93" s="497"/>
      <c r="V93" s="497"/>
    </row>
    <row r="94" spans="1:22" ht="12.5">
      <c r="A94" s="497"/>
      <c r="B94" s="497"/>
      <c r="C94" s="497"/>
      <c r="D94" s="497"/>
      <c r="E94" s="497"/>
      <c r="F94" s="497"/>
      <c r="G94" s="497"/>
      <c r="H94" s="497"/>
      <c r="I94" s="497"/>
      <c r="J94" s="497"/>
      <c r="K94" s="497"/>
      <c r="L94" s="497"/>
      <c r="M94" s="497"/>
      <c r="N94" s="497"/>
      <c r="O94" s="497"/>
      <c r="P94" s="497"/>
      <c r="Q94" s="497"/>
      <c r="R94" s="497"/>
      <c r="S94" s="497"/>
      <c r="T94" s="497"/>
      <c r="U94" s="497"/>
      <c r="V94" s="497"/>
    </row>
    <row r="95" spans="1:22" ht="12.5">
      <c r="A95" s="497"/>
      <c r="B95" s="497"/>
      <c r="C95" s="497"/>
      <c r="D95" s="497"/>
      <c r="E95" s="497"/>
      <c r="F95" s="497"/>
      <c r="G95" s="497"/>
      <c r="H95" s="497"/>
      <c r="I95" s="497"/>
      <c r="J95" s="497"/>
      <c r="K95" s="497"/>
      <c r="L95" s="497"/>
      <c r="M95" s="497"/>
      <c r="N95" s="497"/>
      <c r="O95" s="497"/>
      <c r="P95" s="497"/>
      <c r="Q95" s="497"/>
      <c r="R95" s="497"/>
      <c r="S95" s="497"/>
      <c r="T95" s="497"/>
      <c r="U95" s="497"/>
      <c r="V95" s="497"/>
    </row>
    <row r="96" spans="1:22" ht="12.5">
      <c r="A96" s="497"/>
      <c r="B96" s="497"/>
      <c r="C96" s="497"/>
      <c r="D96" s="497"/>
      <c r="E96" s="497"/>
      <c r="F96" s="497"/>
      <c r="G96" s="497"/>
      <c r="H96" s="497"/>
      <c r="I96" s="497"/>
      <c r="J96" s="497"/>
      <c r="K96" s="497"/>
      <c r="L96" s="497"/>
      <c r="M96" s="497"/>
      <c r="N96" s="497"/>
      <c r="O96" s="497"/>
      <c r="P96" s="497"/>
      <c r="Q96" s="497"/>
      <c r="R96" s="497"/>
      <c r="S96" s="497"/>
      <c r="T96" s="497"/>
      <c r="U96" s="497"/>
      <c r="V96" s="497"/>
    </row>
    <row r="97" spans="1:22" ht="12.5">
      <c r="A97" s="497"/>
      <c r="B97" s="497"/>
      <c r="C97" s="497"/>
      <c r="D97" s="497"/>
      <c r="E97" s="497"/>
      <c r="F97" s="497"/>
      <c r="G97" s="497"/>
      <c r="H97" s="497"/>
      <c r="I97" s="497"/>
      <c r="J97" s="497"/>
      <c r="K97" s="497"/>
      <c r="L97" s="497"/>
      <c r="M97" s="497"/>
      <c r="N97" s="497"/>
      <c r="O97" s="497"/>
      <c r="P97" s="497"/>
      <c r="Q97" s="497"/>
      <c r="R97" s="497"/>
      <c r="S97" s="497"/>
      <c r="T97" s="497"/>
      <c r="U97" s="497"/>
      <c r="V97" s="497"/>
    </row>
    <row r="98" spans="1:22" ht="12.5">
      <c r="A98" s="497"/>
      <c r="B98" s="497"/>
      <c r="C98" s="497"/>
      <c r="D98" s="497"/>
      <c r="E98" s="497"/>
      <c r="F98" s="497"/>
      <c r="G98" s="497"/>
      <c r="H98" s="497"/>
      <c r="I98" s="497"/>
      <c r="J98" s="497"/>
      <c r="K98" s="497"/>
      <c r="L98" s="497"/>
      <c r="M98" s="497"/>
      <c r="N98" s="497"/>
      <c r="O98" s="497"/>
      <c r="P98" s="497"/>
      <c r="Q98" s="497"/>
      <c r="R98" s="497"/>
      <c r="S98" s="497"/>
      <c r="T98" s="497"/>
      <c r="U98" s="497"/>
      <c r="V98" s="497"/>
    </row>
    <row r="99" spans="1:22" ht="12.5">
      <c r="A99" s="497"/>
      <c r="B99" s="497"/>
      <c r="C99" s="497"/>
      <c r="D99" s="497"/>
      <c r="E99" s="497"/>
      <c r="F99" s="497"/>
      <c r="G99" s="497"/>
      <c r="H99" s="497"/>
      <c r="I99" s="497"/>
      <c r="J99" s="497"/>
      <c r="K99" s="497"/>
      <c r="L99" s="497"/>
      <c r="M99" s="497"/>
      <c r="N99" s="497"/>
      <c r="O99" s="497"/>
      <c r="P99" s="497"/>
      <c r="Q99" s="497"/>
      <c r="R99" s="497"/>
      <c r="S99" s="497"/>
      <c r="T99" s="497"/>
      <c r="U99" s="497"/>
      <c r="V99" s="497"/>
    </row>
  </sheetData>
  <mergeCells count="6">
    <mergeCell ref="A3:N3"/>
    <mergeCell ref="A4:N4"/>
    <mergeCell ref="A6:N6"/>
    <mergeCell ref="C48:J48"/>
    <mergeCell ref="C50:J50"/>
    <mergeCell ref="A5:N5"/>
  </mergeCells>
  <phoneticPr fontId="0" type="noConversion"/>
  <printOptions horizontalCentered="1"/>
  <pageMargins left="0.25" right="0.25" top="1" bottom="0.25" header="0.67" footer="0.5"/>
  <pageSetup scale="50" orientation="portrait" horizontalDpi="1200" verticalDpi="1200" r:id="rId1"/>
  <headerFooter alignWithMargins="0">
    <oddHeader xml:space="preserve">&amp;R&amp;12AEP - SPP Transco Formula Rate
TCOS - WS H
Page: &amp;P of &amp;N&amp;10
</oddHeader>
    <oddFooter xml:space="preserve">&amp;C &amp;R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105"/>
  <sheetViews>
    <sheetView topLeftCell="A13" zoomScale="70" zoomScaleNormal="70" zoomScaleSheetLayoutView="75" zoomScalePageLayoutView="89" workbookViewId="0">
      <selection activeCell="H24" sqref="H24"/>
    </sheetView>
  </sheetViews>
  <sheetFormatPr defaultColWidth="14.7265625" defaultRowHeight="15.5"/>
  <cols>
    <col min="1" max="1" width="7.26953125" style="53" customWidth="1"/>
    <col min="2" max="2" width="8.54296875" style="52" bestFit="1" customWidth="1"/>
    <col min="3" max="3" width="2" style="53" customWidth="1"/>
    <col min="4" max="4" width="78" style="53" customWidth="1"/>
    <col min="5" max="5" width="19.453125" style="53" customWidth="1"/>
    <col min="6" max="6" width="29.81640625" style="53" customWidth="1"/>
    <col min="7" max="7" width="2.54296875" style="53" customWidth="1"/>
    <col min="8" max="8" width="19.453125" style="53" bestFit="1" customWidth="1"/>
    <col min="9" max="9" width="2.54296875" style="53" customWidth="1"/>
    <col min="10" max="10" width="17.7265625" style="53" customWidth="1"/>
    <col min="11" max="11" width="2.54296875" style="53" customWidth="1"/>
    <col min="12" max="12" width="19.7265625" style="53" customWidth="1"/>
    <col min="13" max="16384" width="14.7265625" style="53"/>
  </cols>
  <sheetData>
    <row r="1" spans="1:13">
      <c r="A1" s="51"/>
    </row>
    <row r="2" spans="1:13">
      <c r="A2" s="54"/>
      <c r="B2" s="54"/>
      <c r="C2" s="54"/>
      <c r="D2" s="54"/>
      <c r="E2" s="54"/>
      <c r="F2" s="54"/>
      <c r="G2" s="54"/>
      <c r="J2" s="54"/>
      <c r="K2" s="54"/>
      <c r="L2" s="55"/>
      <c r="M2" s="56"/>
    </row>
    <row r="3" spans="1:13">
      <c r="L3" s="55"/>
    </row>
    <row r="4" spans="1:13">
      <c r="D4" s="57"/>
      <c r="E4" s="57"/>
      <c r="F4" s="58" t="str">
        <f>+'Zonal Rates'!F4</f>
        <v xml:space="preserve">AEP West SPP Member Transmission Companies </v>
      </c>
      <c r="J4" s="57"/>
      <c r="K4" s="60"/>
    </row>
    <row r="5" spans="1:13">
      <c r="D5" s="57"/>
      <c r="E5" s="57"/>
      <c r="F5" s="111" t="str">
        <f>"Utilizing Actual / Projected Cost Data for the "&amp;'OKT TCOS'!N2&amp;" Rate Year"</f>
        <v>Utilizing Actual / Projected Cost Data for the 2019 Rate Year</v>
      </c>
      <c r="J5" s="61"/>
      <c r="K5" s="60"/>
    </row>
    <row r="6" spans="1:13">
      <c r="D6" s="57"/>
      <c r="E6" s="57"/>
      <c r="F6" s="63" t="str">
        <f>"For the "&amp;'OKT TCOS'!$N$2&amp;" Rate Year "</f>
        <v xml:space="preserve">For the 2019 Rate Year </v>
      </c>
      <c r="I6" s="60"/>
      <c r="J6" s="60"/>
      <c r="K6" s="60"/>
      <c r="L6" s="60"/>
    </row>
    <row r="7" spans="1:13">
      <c r="B7" s="64"/>
      <c r="C7" s="65"/>
      <c r="D7" s="60"/>
      <c r="E7" s="60"/>
      <c r="I7" s="60"/>
      <c r="J7" s="66"/>
      <c r="K7" s="66"/>
      <c r="L7" s="60"/>
    </row>
    <row r="8" spans="1:13">
      <c r="B8" s="64"/>
      <c r="C8" s="65"/>
      <c r="D8" s="60"/>
      <c r="E8" s="60"/>
      <c r="F8" s="67" t="s">
        <v>124</v>
      </c>
      <c r="I8" s="60"/>
      <c r="J8" s="60"/>
      <c r="K8" s="60"/>
    </row>
    <row r="9" spans="1:13">
      <c r="B9" s="64"/>
      <c r="C9" s="65"/>
      <c r="D9" s="60"/>
      <c r="E9" s="60"/>
      <c r="F9" s="60"/>
      <c r="G9" s="66"/>
      <c r="H9" s="70" t="s">
        <v>931</v>
      </c>
      <c r="I9" s="71"/>
      <c r="J9" s="71" t="s">
        <v>934</v>
      </c>
      <c r="K9" s="71"/>
      <c r="L9" s="70" t="s">
        <v>935</v>
      </c>
    </row>
    <row r="10" spans="1:13">
      <c r="B10" s="64" t="s">
        <v>307</v>
      </c>
      <c r="C10" s="65"/>
      <c r="D10" s="60"/>
      <c r="E10" s="60"/>
      <c r="F10" s="60"/>
      <c r="G10" s="60"/>
      <c r="H10" s="70" t="s">
        <v>32</v>
      </c>
      <c r="I10" s="71"/>
      <c r="J10" s="71" t="s">
        <v>32</v>
      </c>
      <c r="K10" s="71"/>
      <c r="L10" s="71" t="s">
        <v>32</v>
      </c>
    </row>
    <row r="11" spans="1:13" ht="16" thickBot="1">
      <c r="B11" s="73" t="s">
        <v>256</v>
      </c>
      <c r="C11" s="74"/>
      <c r="D11" s="60"/>
      <c r="E11" s="60"/>
      <c r="F11" s="74"/>
      <c r="G11" s="60"/>
      <c r="H11" s="70" t="s">
        <v>120</v>
      </c>
      <c r="I11" s="71"/>
      <c r="J11" s="70" t="s">
        <v>120</v>
      </c>
      <c r="K11" s="71"/>
      <c r="L11" s="70" t="s">
        <v>120</v>
      </c>
    </row>
    <row r="12" spans="1:13">
      <c r="B12" s="75"/>
      <c r="C12" s="74"/>
      <c r="D12" s="60"/>
      <c r="E12" s="60"/>
      <c r="F12" s="74"/>
      <c r="G12" s="60"/>
      <c r="I12" s="60"/>
      <c r="K12" s="60"/>
    </row>
    <row r="13" spans="1:13">
      <c r="B13" s="75"/>
      <c r="C13" s="74"/>
      <c r="D13" s="60"/>
      <c r="E13" s="60"/>
      <c r="F13" s="74"/>
      <c r="G13" s="60"/>
      <c r="I13" s="60"/>
      <c r="K13" s="60"/>
    </row>
    <row r="14" spans="1:13">
      <c r="A14" s="70" t="s">
        <v>121</v>
      </c>
      <c r="B14" s="76" t="str">
        <f>"Schedule 1 ARR For "&amp;'OKT TCOS'!N2&amp;" Rate Year"</f>
        <v>Schedule 1 ARR For 2019 Rate Year</v>
      </c>
      <c r="C14" s="74"/>
      <c r="D14" s="60"/>
      <c r="E14" s="60"/>
      <c r="F14" s="74"/>
      <c r="G14" s="60"/>
      <c r="I14" s="60"/>
      <c r="J14" s="60"/>
      <c r="K14" s="60"/>
    </row>
    <row r="15" spans="1:13">
      <c r="B15" s="64">
        <v>1</v>
      </c>
      <c r="C15" s="65"/>
      <c r="D15" s="77" t="str">
        <f>"Total Load Dispatch &amp; Scheduling (Account 561) (TCOS Line "&amp;'OKT TCOS'!B129&amp;")"</f>
        <v>Total Load Dispatch &amp; Scheduling (Account 561) (TCOS Line 65)</v>
      </c>
      <c r="E15" s="77"/>
      <c r="F15" s="60"/>
      <c r="G15" s="85"/>
      <c r="H15" s="84">
        <f>+J15+L15</f>
        <v>653441.01</v>
      </c>
      <c r="I15" s="83"/>
      <c r="J15" s="84">
        <f>+'OKT TCOS'!G129</f>
        <v>653381.51</v>
      </c>
      <c r="K15" s="82"/>
      <c r="L15" s="84">
        <f>+'SWT TCOS'!G129</f>
        <v>59.5</v>
      </c>
    </row>
    <row r="16" spans="1:13">
      <c r="B16" s="64">
        <f>+B15+1</f>
        <v>2</v>
      </c>
      <c r="C16" s="65"/>
      <c r="D16" s="77" t="s">
        <v>547</v>
      </c>
      <c r="E16" s="77"/>
      <c r="F16" s="60"/>
      <c r="G16" s="85"/>
      <c r="H16" s="84">
        <f>+J16+L16</f>
        <v>0</v>
      </c>
      <c r="I16" s="83"/>
      <c r="J16" s="112">
        <v>0</v>
      </c>
      <c r="K16" s="113"/>
      <c r="L16" s="112">
        <v>0</v>
      </c>
    </row>
    <row r="17" spans="1:13">
      <c r="B17" s="64">
        <f>+B16+1</f>
        <v>3</v>
      </c>
      <c r="C17" s="65"/>
      <c r="D17" s="77" t="s">
        <v>548</v>
      </c>
      <c r="E17" s="77"/>
      <c r="F17" s="60"/>
      <c r="G17" s="85"/>
      <c r="H17" s="114">
        <f>+J17+L17</f>
        <v>0</v>
      </c>
      <c r="I17" s="83"/>
      <c r="J17" s="115">
        <v>0</v>
      </c>
      <c r="K17" s="113"/>
      <c r="L17" s="115">
        <v>0</v>
      </c>
    </row>
    <row r="18" spans="1:13">
      <c r="B18" s="64">
        <f>+B17+1</f>
        <v>4</v>
      </c>
      <c r="C18" s="65"/>
      <c r="D18" s="77" t="s">
        <v>61</v>
      </c>
      <c r="E18" s="77"/>
      <c r="F18" s="65" t="str">
        <f>"(Line "&amp;B15&amp;" - Line "&amp;B16&amp;" - Line "&amp;B17&amp;")"</f>
        <v>(Line 1 - Line 2 - Line 3)</v>
      </c>
      <c r="G18" s="85"/>
      <c r="H18" s="84">
        <f>+H15-H16-H17</f>
        <v>653441.01</v>
      </c>
      <c r="I18" s="83"/>
      <c r="J18" s="84">
        <f>+J15-J16-J17</f>
        <v>653381.51</v>
      </c>
      <c r="K18" s="82"/>
      <c r="L18" s="84">
        <f>+L15-L16-L17</f>
        <v>59.5</v>
      </c>
    </row>
    <row r="19" spans="1:13">
      <c r="B19" s="53"/>
      <c r="C19" s="65"/>
      <c r="D19" s="77"/>
      <c r="E19" s="77"/>
      <c r="F19" s="65"/>
      <c r="G19" s="85"/>
      <c r="H19" s="84"/>
      <c r="I19" s="83"/>
      <c r="J19" s="84"/>
      <c r="K19" s="82"/>
      <c r="L19" s="84"/>
    </row>
    <row r="20" spans="1:13">
      <c r="B20" s="64">
        <f>+B18+1</f>
        <v>5</v>
      </c>
      <c r="C20" s="65"/>
      <c r="D20" s="116" t="s">
        <v>549</v>
      </c>
      <c r="E20" s="77"/>
      <c r="F20" s="65"/>
      <c r="G20" s="85"/>
      <c r="H20" s="78">
        <f>+J20+L20</f>
        <v>0</v>
      </c>
      <c r="J20" s="112"/>
      <c r="K20" s="113"/>
      <c r="L20" s="112"/>
    </row>
    <row r="21" spans="1:13" ht="16" thickBot="1">
      <c r="B21" s="64"/>
      <c r="C21" s="65"/>
      <c r="D21" s="77"/>
      <c r="E21" s="77"/>
      <c r="F21" s="65"/>
      <c r="G21" s="85"/>
      <c r="H21" s="84"/>
      <c r="I21" s="83"/>
      <c r="J21" s="84"/>
      <c r="K21" s="82"/>
      <c r="L21" s="84"/>
    </row>
    <row r="22" spans="1:13" ht="16" thickBot="1">
      <c r="A22" s="117"/>
      <c r="B22" s="64">
        <f>+B20+1</f>
        <v>6</v>
      </c>
      <c r="C22" s="65"/>
      <c r="D22" s="118" t="s">
        <v>550</v>
      </c>
      <c r="E22" s="119"/>
      <c r="F22" s="92" t="str">
        <f>"(Line "&amp;B18&amp;" - Line "&amp;B20&amp;")"</f>
        <v>(Line 4 - Line 5)</v>
      </c>
      <c r="G22" s="120"/>
      <c r="H22" s="121">
        <f>+H18-H20</f>
        <v>653441.01</v>
      </c>
      <c r="I22" s="122"/>
      <c r="J22" s="121">
        <f>+J18-J20</f>
        <v>653381.51</v>
      </c>
      <c r="K22" s="123"/>
      <c r="L22" s="124">
        <f>+L18-L20</f>
        <v>59.5</v>
      </c>
    </row>
    <row r="23" spans="1:13">
      <c r="A23" s="117"/>
      <c r="B23" s="64"/>
      <c r="C23" s="65"/>
      <c r="D23" s="77"/>
      <c r="E23" s="77"/>
      <c r="F23" s="85"/>
      <c r="H23" s="90"/>
      <c r="J23" s="87">
        <f>J22/H22</f>
        <v>0.99990894357854887</v>
      </c>
      <c r="L23" s="87">
        <f>1-J23</f>
        <v>9.1056421451130021E-5</v>
      </c>
    </row>
    <row r="24" spans="1:13">
      <c r="B24" s="64"/>
      <c r="C24" s="65"/>
      <c r="D24" s="77"/>
      <c r="E24" s="77"/>
      <c r="F24" s="85"/>
      <c r="H24" s="90"/>
      <c r="J24" s="90"/>
      <c r="K24" s="78"/>
      <c r="L24" s="90"/>
    </row>
    <row r="25" spans="1:13">
      <c r="A25" s="70" t="s">
        <v>122</v>
      </c>
      <c r="B25" s="76" t="str">
        <f>"Schedule 1 "&amp;'OKT TCOS'!N2&amp;" Rate Year Calculations"</f>
        <v>Schedule 1 2019 Rate Year Calculations</v>
      </c>
      <c r="C25" s="74"/>
      <c r="D25" s="60"/>
      <c r="E25" s="60"/>
      <c r="F25" s="74"/>
      <c r="G25" s="60"/>
      <c r="I25" s="60"/>
      <c r="J25" s="78"/>
      <c r="K25" s="78"/>
      <c r="L25" s="78"/>
    </row>
    <row r="26" spans="1:13">
      <c r="A26" s="117"/>
      <c r="B26" s="64">
        <f>+B22+1</f>
        <v>7</v>
      </c>
      <c r="C26" s="65"/>
      <c r="D26" s="77" t="s">
        <v>551</v>
      </c>
      <c r="E26" s="77"/>
      <c r="F26" s="100" t="str">
        <f>"(Load WS, ln "&amp;'Load WS'!A33&amp;")"</f>
        <v>(Load WS, ln 20)</v>
      </c>
      <c r="G26" s="85"/>
      <c r="H26" s="78">
        <f>+'Load WS'!S33</f>
        <v>8602</v>
      </c>
      <c r="I26" s="60" t="s">
        <v>123</v>
      </c>
      <c r="J26" s="78">
        <f>+H26</f>
        <v>8602</v>
      </c>
      <c r="K26" s="60" t="s">
        <v>123</v>
      </c>
      <c r="L26" s="78">
        <f>+H26</f>
        <v>8602</v>
      </c>
      <c r="M26" s="60" t="s">
        <v>123</v>
      </c>
    </row>
    <row r="27" spans="1:13">
      <c r="A27" s="117"/>
      <c r="B27" s="64"/>
      <c r="C27" s="65"/>
      <c r="D27" s="77"/>
      <c r="E27" s="77"/>
      <c r="F27" s="125"/>
      <c r="G27" s="85"/>
      <c r="H27" s="126"/>
      <c r="I27" s="60"/>
      <c r="J27" s="126"/>
      <c r="K27" s="60"/>
      <c r="L27" s="126"/>
      <c r="M27" s="60"/>
    </row>
    <row r="28" spans="1:13">
      <c r="A28" s="117"/>
      <c r="B28" s="64">
        <f>+B26+1</f>
        <v>8</v>
      </c>
      <c r="C28" s="127"/>
      <c r="D28" s="77" t="str">
        <f>"Annual Point-to-Point Rate in $/MW - Year"</f>
        <v>Annual Point-to-Point Rate in $/MW - Year</v>
      </c>
      <c r="E28" s="128"/>
      <c r="F28" s="127" t="str">
        <f>"(Line "&amp;B22&amp;" / Line "&amp;B26&amp;")"</f>
        <v>(Line 6 / Line 7)</v>
      </c>
      <c r="G28" s="127"/>
      <c r="H28" s="53">
        <f>+H22/H26</f>
        <v>75.963846779818653</v>
      </c>
      <c r="I28" s="127"/>
      <c r="J28" s="53">
        <f>+J22/J26</f>
        <v>75.956929783771216</v>
      </c>
      <c r="K28" s="127"/>
      <c r="L28" s="53">
        <f>+L22/L26</f>
        <v>6.91699604743083E-3</v>
      </c>
      <c r="M28" s="127"/>
    </row>
    <row r="29" spans="1:13">
      <c r="A29" s="117"/>
      <c r="B29" s="64">
        <f>+B28+1</f>
        <v>9</v>
      </c>
      <c r="C29" s="127"/>
      <c r="D29" s="77" t="str">
        <f>"Monthly Point-to-Point Rate (ln "&amp;B28&amp;" / 12)  $/MW - Month"</f>
        <v>Monthly Point-to-Point Rate (ln 8 / 12)  $/MW - Month</v>
      </c>
      <c r="E29" s="128"/>
      <c r="F29" s="127" t="str">
        <f>"(Line "&amp;B28&amp;" / 12)"</f>
        <v>(Line 8 / 12)</v>
      </c>
      <c r="G29" s="127"/>
      <c r="H29" s="53">
        <f>+H28/12</f>
        <v>6.3303205649848877</v>
      </c>
      <c r="I29" s="127"/>
      <c r="J29" s="53">
        <f>+J28/12</f>
        <v>6.3297441486476016</v>
      </c>
      <c r="K29" s="127"/>
      <c r="L29" s="53">
        <f>+L28/12</f>
        <v>5.764163372859025E-4</v>
      </c>
      <c r="M29" s="127"/>
    </row>
    <row r="30" spans="1:13">
      <c r="A30" s="117"/>
      <c r="B30" s="64">
        <f>+B29+1</f>
        <v>10</v>
      </c>
      <c r="C30" s="127"/>
      <c r="D30" s="77" t="str">
        <f>"Weekly Point-to-Point Rate (ln "&amp;B28&amp;" / 52)  $/MW - Weekly"</f>
        <v>Weekly Point-to-Point Rate (ln 8 / 52)  $/MW - Weekly</v>
      </c>
      <c r="E30" s="128"/>
      <c r="F30" s="127" t="str">
        <f>"(Line "&amp;B28&amp;" / 52)"</f>
        <v>(Line 8 / 52)</v>
      </c>
      <c r="G30" s="127"/>
      <c r="H30" s="53">
        <f>+H28/52</f>
        <v>1.4608432073042048</v>
      </c>
      <c r="I30" s="127"/>
      <c r="J30" s="53">
        <f>+J28/52</f>
        <v>1.4607101881494464</v>
      </c>
      <c r="K30" s="127"/>
      <c r="L30" s="53">
        <f>+L28/52</f>
        <v>1.3301915475828519E-4</v>
      </c>
      <c r="M30" s="127"/>
    </row>
    <row r="31" spans="1:13">
      <c r="A31" s="117"/>
      <c r="B31" s="64">
        <f>+B30+1</f>
        <v>11</v>
      </c>
      <c r="C31" s="127"/>
      <c r="D31" s="77" t="str">
        <f>"Daily Off-Peak Point-to-Point Rate (ln "&amp;B28&amp;" / 365)  $/MW - Day"</f>
        <v>Daily Off-Peak Point-to-Point Rate (ln 8 / 365)  $/MW - Day</v>
      </c>
      <c r="E31" s="128"/>
      <c r="F31" s="127" t="str">
        <f>"(Line "&amp;B28&amp;" / 365)"</f>
        <v>(Line 8 / 365)</v>
      </c>
      <c r="G31" s="127"/>
      <c r="H31" s="53">
        <f>+H28/365</f>
        <v>0.20812012816388673</v>
      </c>
      <c r="I31" s="127"/>
      <c r="J31" s="53">
        <f>+J28/365</f>
        <v>0.20810117748978416</v>
      </c>
      <c r="K31" s="127"/>
      <c r="L31" s="53">
        <f>+L28/365</f>
        <v>1.8950674102550218E-5</v>
      </c>
      <c r="M31" s="127"/>
    </row>
    <row r="32" spans="1:13">
      <c r="A32" s="117"/>
      <c r="B32" s="64">
        <f>+B31+1</f>
        <v>12</v>
      </c>
      <c r="C32" s="127"/>
      <c r="D32" s="77" t="str">
        <f>"Hourly Off-Peak Point-to-Point Rate (ln "&amp;B28&amp;" / 8760)  $/MW - Hour"</f>
        <v>Hourly Off-Peak Point-to-Point Rate (ln 8 / 8760)  $/MW - Hour</v>
      </c>
      <c r="E32" s="128"/>
      <c r="F32" s="127" t="str">
        <f>"(Line "&amp;B28&amp;" / 8760)"</f>
        <v>(Line 8 / 8760)</v>
      </c>
      <c r="G32" s="127"/>
      <c r="H32" s="53">
        <f>+H28/8760</f>
        <v>8.6716720068286141E-3</v>
      </c>
      <c r="I32" s="127"/>
      <c r="J32" s="53">
        <f>+J28/8760</f>
        <v>8.6708823954076732E-3</v>
      </c>
      <c r="K32" s="127"/>
      <c r="L32" s="53">
        <f>+L28/8760</f>
        <v>7.8961142093959242E-7</v>
      </c>
      <c r="M32" s="127"/>
    </row>
    <row r="33" spans="2:23">
      <c r="B33" s="64"/>
      <c r="C33" s="65"/>
      <c r="D33" s="77"/>
      <c r="E33" s="77"/>
      <c r="F33" s="85"/>
      <c r="H33" s="78"/>
      <c r="J33" s="78"/>
      <c r="K33" s="78"/>
      <c r="L33" s="78"/>
    </row>
    <row r="34" spans="2:23">
      <c r="B34" s="64"/>
      <c r="C34" s="127"/>
      <c r="D34" s="77"/>
      <c r="E34" s="77"/>
      <c r="F34" s="127"/>
      <c r="G34" s="127"/>
      <c r="I34" s="127"/>
      <c r="J34" s="79"/>
      <c r="L34" s="79"/>
      <c r="M34" s="60"/>
      <c r="N34" s="60"/>
      <c r="O34" s="60"/>
      <c r="P34" s="60"/>
      <c r="Q34" s="60"/>
      <c r="R34" s="60"/>
      <c r="S34" s="60"/>
      <c r="T34" s="60"/>
      <c r="U34" s="60"/>
      <c r="V34" s="60"/>
      <c r="W34" s="60"/>
    </row>
    <row r="35" spans="2:23">
      <c r="B35" s="64"/>
      <c r="C35" s="127"/>
      <c r="D35" s="77"/>
      <c r="E35" s="77"/>
      <c r="F35" s="127"/>
      <c r="G35" s="127"/>
      <c r="I35" s="127"/>
      <c r="J35" s="79"/>
      <c r="L35" s="79"/>
      <c r="M35" s="60"/>
      <c r="N35" s="60"/>
      <c r="O35" s="60"/>
      <c r="P35" s="60"/>
      <c r="Q35" s="60"/>
      <c r="R35" s="60"/>
      <c r="S35" s="60"/>
      <c r="T35" s="60"/>
      <c r="U35" s="60"/>
      <c r="V35" s="60"/>
      <c r="W35" s="60"/>
    </row>
    <row r="36" spans="2:23">
      <c r="B36" s="130"/>
      <c r="C36" s="127"/>
      <c r="D36" s="127"/>
      <c r="E36" s="127"/>
      <c r="F36" s="127"/>
      <c r="G36" s="127"/>
      <c r="H36" s="60"/>
      <c r="I36" s="127"/>
      <c r="J36" s="127"/>
      <c r="K36" s="127"/>
      <c r="L36" s="127"/>
      <c r="M36" s="60"/>
      <c r="N36" s="60"/>
      <c r="O36" s="60"/>
      <c r="P36" s="60"/>
      <c r="Q36" s="60"/>
      <c r="R36" s="60"/>
      <c r="S36" s="60"/>
      <c r="T36" s="60"/>
      <c r="U36" s="60"/>
      <c r="V36" s="60"/>
      <c r="W36" s="60"/>
    </row>
    <row r="37" spans="2:23">
      <c r="B37" s="130"/>
      <c r="C37" s="127"/>
      <c r="D37" s="127"/>
      <c r="E37" s="127"/>
      <c r="F37" s="127"/>
      <c r="G37" s="127"/>
      <c r="H37" s="60"/>
      <c r="I37" s="127"/>
      <c r="J37" s="127"/>
      <c r="K37" s="127"/>
      <c r="L37" s="127"/>
      <c r="M37" s="60"/>
      <c r="N37" s="60"/>
      <c r="O37" s="60"/>
      <c r="P37" s="60"/>
      <c r="Q37" s="60"/>
      <c r="R37" s="60"/>
      <c r="S37" s="60"/>
      <c r="T37" s="60"/>
      <c r="U37" s="60"/>
      <c r="V37" s="60"/>
      <c r="W37" s="60"/>
    </row>
    <row r="38" spans="2:23">
      <c r="B38" s="130"/>
      <c r="C38" s="127"/>
      <c r="D38" s="127"/>
      <c r="E38" s="127"/>
      <c r="F38" s="127"/>
      <c r="G38" s="127"/>
      <c r="H38" s="60"/>
      <c r="I38" s="127"/>
      <c r="J38" s="127"/>
      <c r="K38" s="127"/>
      <c r="L38" s="127"/>
      <c r="M38" s="60"/>
      <c r="N38" s="60"/>
      <c r="O38" s="60"/>
      <c r="P38" s="60"/>
      <c r="Q38" s="60"/>
      <c r="R38" s="60"/>
      <c r="S38" s="60"/>
      <c r="T38" s="60"/>
      <c r="U38" s="60"/>
      <c r="V38" s="60"/>
      <c r="W38" s="60"/>
    </row>
    <row r="39" spans="2:23">
      <c r="B39" s="107"/>
      <c r="C39" s="60"/>
      <c r="D39" s="54"/>
      <c r="E39" s="54"/>
      <c r="F39" s="54"/>
      <c r="G39" s="54"/>
      <c r="H39" s="54" t="s">
        <v>253</v>
      </c>
      <c r="J39" s="54"/>
      <c r="K39" s="54"/>
      <c r="L39" s="54"/>
      <c r="M39" s="54"/>
      <c r="N39" s="54"/>
      <c r="O39" s="54"/>
      <c r="P39" s="54"/>
      <c r="Q39" s="54"/>
      <c r="R39" s="54"/>
      <c r="S39" s="54"/>
      <c r="T39" s="60"/>
      <c r="U39" s="60"/>
      <c r="V39" s="60"/>
      <c r="W39" s="60"/>
    </row>
    <row r="40" spans="2:23">
      <c r="B40" s="107"/>
      <c r="C40" s="60"/>
      <c r="D40" s="54"/>
      <c r="E40" s="54"/>
      <c r="F40" s="54"/>
      <c r="G40" s="54"/>
      <c r="H40" s="54"/>
      <c r="I40" s="54"/>
      <c r="J40" s="54"/>
      <c r="K40" s="54"/>
      <c r="L40" s="54"/>
      <c r="M40" s="54"/>
      <c r="N40" s="54"/>
      <c r="O40" s="54"/>
      <c r="P40" s="54"/>
      <c r="Q40" s="54"/>
      <c r="R40" s="54"/>
      <c r="S40" s="54"/>
      <c r="T40" s="60"/>
      <c r="U40" s="60"/>
      <c r="V40" s="60"/>
      <c r="W40" s="60"/>
    </row>
    <row r="41" spans="2:23">
      <c r="B41" s="107"/>
      <c r="C41" s="60"/>
      <c r="D41" s="54"/>
      <c r="E41" s="54"/>
      <c r="F41" s="54"/>
      <c r="G41" s="54"/>
      <c r="H41" s="54"/>
      <c r="I41" s="54"/>
      <c r="J41" s="54"/>
      <c r="K41" s="54"/>
      <c r="L41" s="54"/>
      <c r="M41" s="54"/>
      <c r="N41" s="54"/>
      <c r="O41" s="54"/>
      <c r="P41" s="54"/>
      <c r="Q41" s="54"/>
      <c r="R41" s="54"/>
      <c r="S41" s="54"/>
      <c r="T41" s="60"/>
      <c r="U41" s="60"/>
      <c r="V41" s="60"/>
      <c r="W41" s="60"/>
    </row>
    <row r="42" spans="2:23">
      <c r="B42" s="107"/>
      <c r="C42" s="60"/>
      <c r="D42" s="54"/>
      <c r="E42" s="54"/>
      <c r="F42" s="54"/>
      <c r="G42" s="54"/>
      <c r="H42" s="54"/>
      <c r="I42" s="54"/>
      <c r="J42" s="54"/>
      <c r="K42" s="54"/>
      <c r="L42" s="54"/>
      <c r="M42" s="54"/>
      <c r="N42" s="54"/>
      <c r="O42" s="54"/>
      <c r="P42" s="54"/>
      <c r="Q42" s="54"/>
      <c r="R42" s="54"/>
      <c r="S42" s="54"/>
      <c r="T42" s="60"/>
      <c r="U42" s="60"/>
      <c r="V42" s="60"/>
      <c r="W42" s="60"/>
    </row>
    <row r="43" spans="2:23">
      <c r="B43" s="107"/>
      <c r="C43" s="60"/>
      <c r="D43" s="54"/>
      <c r="E43" s="54"/>
      <c r="F43" s="54"/>
      <c r="G43" s="54"/>
      <c r="H43" s="54"/>
      <c r="I43" s="54"/>
      <c r="J43" s="54"/>
      <c r="K43" s="54"/>
      <c r="L43" s="54"/>
      <c r="M43" s="54"/>
      <c r="N43" s="54"/>
      <c r="O43" s="54"/>
      <c r="P43" s="54"/>
      <c r="Q43" s="54"/>
      <c r="R43" s="54"/>
      <c r="S43" s="54"/>
      <c r="T43" s="60"/>
      <c r="U43" s="60"/>
      <c r="V43" s="60"/>
      <c r="W43" s="60"/>
    </row>
    <row r="44" spans="2:23">
      <c r="B44" s="107"/>
      <c r="C44" s="60"/>
      <c r="D44" s="54"/>
      <c r="E44" s="54"/>
      <c r="F44" s="54"/>
      <c r="G44" s="54"/>
      <c r="H44" s="54"/>
      <c r="I44" s="54"/>
      <c r="J44" s="54"/>
      <c r="K44" s="54"/>
      <c r="L44" s="54"/>
      <c r="M44" s="54"/>
      <c r="N44" s="54"/>
      <c r="O44" s="54"/>
      <c r="P44" s="54"/>
      <c r="Q44" s="54"/>
      <c r="R44" s="54"/>
      <c r="S44" s="54"/>
      <c r="T44" s="60"/>
      <c r="U44" s="60"/>
      <c r="V44" s="60"/>
      <c r="W44" s="60"/>
    </row>
    <row r="45" spans="2:23">
      <c r="B45" s="107"/>
      <c r="C45" s="60"/>
      <c r="D45" s="54"/>
      <c r="E45" s="54"/>
      <c r="F45" s="54"/>
      <c r="G45" s="54"/>
      <c r="H45" s="54"/>
      <c r="I45" s="54"/>
      <c r="J45" s="54"/>
      <c r="K45" s="54"/>
      <c r="L45" s="54"/>
      <c r="M45" s="54"/>
      <c r="N45" s="54"/>
      <c r="O45" s="54"/>
      <c r="P45" s="54"/>
      <c r="Q45" s="54"/>
      <c r="R45" s="54"/>
      <c r="S45" s="54"/>
      <c r="T45" s="60"/>
      <c r="U45" s="60"/>
      <c r="V45" s="60"/>
      <c r="W45" s="60"/>
    </row>
    <row r="46" spans="2:23">
      <c r="B46" s="107"/>
      <c r="C46" s="60"/>
      <c r="D46" s="54"/>
      <c r="E46" s="54"/>
      <c r="F46" s="54"/>
      <c r="G46" s="54"/>
      <c r="H46" s="54"/>
      <c r="I46" s="54"/>
      <c r="J46" s="54"/>
      <c r="K46" s="54"/>
      <c r="L46" s="54"/>
      <c r="M46" s="54"/>
      <c r="N46" s="54"/>
      <c r="O46" s="54"/>
      <c r="P46" s="54"/>
      <c r="Q46" s="54"/>
      <c r="R46" s="54"/>
      <c r="S46" s="54"/>
      <c r="T46" s="60"/>
      <c r="U46" s="60"/>
      <c r="V46" s="60"/>
      <c r="W46" s="60"/>
    </row>
    <row r="47" spans="2:23">
      <c r="B47" s="107"/>
      <c r="C47" s="60"/>
      <c r="D47" s="54"/>
      <c r="E47" s="54"/>
      <c r="F47" s="54"/>
      <c r="G47" s="54"/>
      <c r="H47" s="54"/>
      <c r="I47" s="54"/>
      <c r="J47" s="54"/>
      <c r="K47" s="54"/>
      <c r="L47" s="54"/>
      <c r="M47" s="54"/>
      <c r="N47" s="54"/>
      <c r="O47" s="54"/>
      <c r="P47" s="54"/>
      <c r="Q47" s="54"/>
      <c r="R47" s="54"/>
      <c r="S47" s="54"/>
      <c r="T47" s="60"/>
      <c r="U47" s="60"/>
      <c r="V47" s="60"/>
      <c r="W47" s="60"/>
    </row>
    <row r="48" spans="2:23">
      <c r="B48" s="107"/>
      <c r="C48" s="60"/>
      <c r="D48" s="54"/>
      <c r="E48" s="54"/>
      <c r="F48" s="54"/>
      <c r="G48" s="54"/>
      <c r="H48" s="54"/>
      <c r="I48" s="54"/>
      <c r="J48" s="54"/>
      <c r="K48" s="54"/>
      <c r="L48" s="54"/>
      <c r="M48" s="54"/>
      <c r="N48" s="54"/>
      <c r="O48" s="54"/>
      <c r="P48" s="54"/>
      <c r="Q48" s="54"/>
      <c r="R48" s="54"/>
      <c r="S48" s="54"/>
      <c r="T48" s="60"/>
      <c r="U48" s="60"/>
      <c r="V48" s="60"/>
      <c r="W48" s="60"/>
    </row>
    <row r="49" spans="2:23">
      <c r="B49" s="107"/>
      <c r="C49" s="60"/>
      <c r="D49" s="54"/>
      <c r="E49" s="54"/>
      <c r="F49" s="54"/>
      <c r="G49" s="54"/>
      <c r="H49" s="54"/>
      <c r="I49" s="54"/>
      <c r="J49" s="54"/>
      <c r="K49" s="54"/>
      <c r="L49" s="54"/>
      <c r="M49" s="54"/>
      <c r="N49" s="54"/>
      <c r="O49" s="54"/>
      <c r="P49" s="54"/>
      <c r="Q49" s="54"/>
      <c r="R49" s="54"/>
      <c r="S49" s="54"/>
      <c r="T49" s="60"/>
      <c r="U49" s="60"/>
      <c r="V49" s="60"/>
      <c r="W49" s="60"/>
    </row>
    <row r="50" spans="2:23">
      <c r="B50" s="107"/>
      <c r="C50" s="60"/>
      <c r="D50" s="54"/>
      <c r="E50" s="54"/>
      <c r="F50" s="54"/>
      <c r="G50" s="54"/>
      <c r="H50" s="54"/>
      <c r="I50" s="54"/>
      <c r="J50" s="54"/>
      <c r="K50" s="54"/>
      <c r="L50" s="54"/>
      <c r="M50" s="54"/>
      <c r="N50" s="54"/>
      <c r="O50" s="54"/>
      <c r="P50" s="54"/>
      <c r="Q50" s="54"/>
      <c r="R50" s="54"/>
      <c r="S50" s="54"/>
      <c r="T50" s="60"/>
      <c r="U50" s="60"/>
      <c r="V50" s="60"/>
      <c r="W50" s="60"/>
    </row>
    <row r="51" spans="2:23">
      <c r="B51" s="107"/>
      <c r="C51" s="60"/>
      <c r="D51" s="54"/>
      <c r="E51" s="54"/>
      <c r="F51" s="54"/>
      <c r="G51" s="54"/>
      <c r="H51" s="54"/>
      <c r="I51" s="54"/>
      <c r="J51" s="54"/>
      <c r="K51" s="54"/>
      <c r="L51" s="54"/>
      <c r="M51" s="54"/>
      <c r="N51" s="54"/>
      <c r="O51" s="54"/>
      <c r="P51" s="54"/>
      <c r="Q51" s="54"/>
      <c r="R51" s="54"/>
      <c r="S51" s="54"/>
      <c r="T51" s="60"/>
      <c r="U51" s="60"/>
      <c r="V51" s="60"/>
      <c r="W51" s="60"/>
    </row>
    <row r="52" spans="2:23">
      <c r="B52" s="107"/>
      <c r="C52" s="60"/>
      <c r="D52" s="54"/>
      <c r="E52" s="54"/>
      <c r="F52" s="54"/>
      <c r="G52" s="54"/>
      <c r="H52" s="54"/>
      <c r="I52" s="54"/>
      <c r="J52" s="54"/>
      <c r="K52" s="54"/>
      <c r="L52" s="54"/>
      <c r="M52" s="54"/>
      <c r="N52" s="54"/>
      <c r="O52" s="54"/>
      <c r="P52" s="54"/>
      <c r="Q52" s="54"/>
      <c r="R52" s="54"/>
      <c r="S52" s="54"/>
      <c r="T52" s="60"/>
      <c r="U52" s="60"/>
      <c r="V52" s="60"/>
      <c r="W52" s="60"/>
    </row>
    <row r="53" spans="2:23">
      <c r="B53" s="107"/>
      <c r="C53" s="60"/>
      <c r="D53" s="54"/>
      <c r="E53" s="54"/>
      <c r="F53" s="54"/>
      <c r="G53" s="54"/>
      <c r="H53" s="54"/>
      <c r="I53" s="54"/>
      <c r="J53" s="54"/>
      <c r="K53" s="54"/>
      <c r="L53" s="54"/>
      <c r="M53" s="54"/>
      <c r="N53" s="54"/>
      <c r="O53" s="54"/>
      <c r="P53" s="54"/>
      <c r="Q53" s="54"/>
      <c r="R53" s="54"/>
      <c r="S53" s="54"/>
      <c r="T53" s="60"/>
      <c r="U53" s="60"/>
      <c r="V53" s="60"/>
      <c r="W53" s="60"/>
    </row>
    <row r="54" spans="2:23">
      <c r="B54" s="107"/>
      <c r="C54" s="60"/>
      <c r="D54" s="54"/>
      <c r="E54" s="54"/>
      <c r="F54" s="54"/>
      <c r="G54" s="54"/>
      <c r="H54" s="54"/>
      <c r="I54" s="54"/>
      <c r="J54" s="54"/>
      <c r="K54" s="54"/>
      <c r="L54" s="54"/>
      <c r="M54" s="54"/>
      <c r="N54" s="54"/>
      <c r="O54" s="54"/>
      <c r="P54" s="54"/>
      <c r="Q54" s="54"/>
      <c r="R54" s="54"/>
      <c r="S54" s="54"/>
      <c r="T54" s="60"/>
      <c r="U54" s="60"/>
      <c r="V54" s="60"/>
      <c r="W54" s="60"/>
    </row>
    <row r="55" spans="2:23">
      <c r="B55" s="107"/>
      <c r="C55" s="60"/>
      <c r="D55" s="54"/>
      <c r="E55" s="54"/>
      <c r="F55" s="54"/>
      <c r="G55" s="54"/>
      <c r="H55" s="54"/>
      <c r="I55" s="54"/>
      <c r="J55" s="54"/>
      <c r="K55" s="54"/>
      <c r="L55" s="54"/>
      <c r="M55" s="54"/>
      <c r="N55" s="54"/>
      <c r="O55" s="54"/>
      <c r="P55" s="54"/>
      <c r="Q55" s="54"/>
      <c r="R55" s="54"/>
      <c r="S55" s="54"/>
      <c r="T55" s="60"/>
      <c r="U55" s="60"/>
      <c r="V55" s="60"/>
      <c r="W55" s="60"/>
    </row>
    <row r="56" spans="2:23">
      <c r="B56" s="107"/>
      <c r="C56" s="60"/>
      <c r="D56" s="60"/>
      <c r="E56" s="60"/>
      <c r="F56" s="60"/>
      <c r="G56" s="60"/>
      <c r="H56" s="60"/>
      <c r="I56" s="60"/>
      <c r="J56" s="60"/>
      <c r="K56" s="60"/>
      <c r="L56" s="60"/>
      <c r="M56" s="60"/>
      <c r="N56" s="60"/>
      <c r="O56" s="60"/>
      <c r="P56" s="60"/>
      <c r="Q56" s="60"/>
      <c r="R56" s="60"/>
      <c r="S56" s="60"/>
      <c r="T56" s="60"/>
      <c r="U56" s="60"/>
      <c r="V56" s="60"/>
      <c r="W56" s="60"/>
    </row>
    <row r="57" spans="2:23">
      <c r="B57" s="107"/>
      <c r="C57" s="60"/>
      <c r="D57" s="60"/>
      <c r="E57" s="60"/>
      <c r="F57" s="60"/>
      <c r="G57" s="60"/>
      <c r="H57" s="60"/>
      <c r="I57" s="60"/>
      <c r="J57" s="60"/>
      <c r="K57" s="60"/>
      <c r="L57" s="60"/>
      <c r="M57" s="60"/>
      <c r="N57" s="60"/>
      <c r="O57" s="60"/>
      <c r="P57" s="60"/>
      <c r="Q57" s="60"/>
      <c r="R57" s="60"/>
      <c r="S57" s="60"/>
      <c r="T57" s="60"/>
      <c r="U57" s="60"/>
      <c r="V57" s="60"/>
      <c r="W57" s="60"/>
    </row>
    <row r="58" spans="2:23">
      <c r="B58" s="107"/>
      <c r="C58" s="60"/>
      <c r="D58" s="60"/>
      <c r="E58" s="60"/>
      <c r="F58" s="60"/>
      <c r="G58" s="60"/>
      <c r="H58" s="60"/>
      <c r="I58" s="60"/>
      <c r="J58" s="60"/>
      <c r="K58" s="60"/>
      <c r="L58" s="60"/>
      <c r="M58" s="60"/>
      <c r="N58" s="60"/>
      <c r="O58" s="60"/>
      <c r="P58" s="60"/>
      <c r="Q58" s="60"/>
      <c r="R58" s="60"/>
      <c r="S58" s="60"/>
      <c r="T58" s="60"/>
      <c r="U58" s="60"/>
      <c r="V58" s="60"/>
      <c r="W58" s="60"/>
    </row>
    <row r="59" spans="2:23">
      <c r="B59" s="107"/>
      <c r="C59" s="60"/>
      <c r="D59" s="60"/>
      <c r="E59" s="60"/>
      <c r="F59" s="60"/>
      <c r="G59" s="60"/>
      <c r="H59" s="60"/>
      <c r="I59" s="60"/>
      <c r="J59" s="60"/>
      <c r="K59" s="60"/>
      <c r="L59" s="60"/>
      <c r="M59" s="60"/>
      <c r="N59" s="60"/>
      <c r="O59" s="60"/>
      <c r="P59" s="60"/>
      <c r="Q59" s="60"/>
      <c r="R59" s="60"/>
      <c r="S59" s="60"/>
      <c r="T59" s="60"/>
      <c r="U59" s="60"/>
      <c r="V59" s="60"/>
      <c r="W59" s="60"/>
    </row>
    <row r="60" spans="2:23">
      <c r="B60" s="107"/>
      <c r="C60" s="60"/>
      <c r="D60" s="60"/>
      <c r="E60" s="60"/>
      <c r="F60" s="60"/>
      <c r="G60" s="60"/>
      <c r="H60" s="60"/>
      <c r="I60" s="60"/>
      <c r="J60" s="60"/>
      <c r="K60" s="60"/>
      <c r="L60" s="60"/>
      <c r="M60" s="60"/>
      <c r="N60" s="60"/>
      <c r="O60" s="60"/>
      <c r="P60" s="60"/>
      <c r="Q60" s="60"/>
      <c r="R60" s="60"/>
      <c r="S60" s="60"/>
      <c r="T60" s="60"/>
      <c r="U60" s="60"/>
      <c r="V60" s="60"/>
      <c r="W60" s="60"/>
    </row>
    <row r="61" spans="2:23">
      <c r="B61" s="107"/>
      <c r="C61" s="60"/>
      <c r="D61" s="60"/>
      <c r="E61" s="60"/>
      <c r="F61" s="60"/>
      <c r="G61" s="60"/>
      <c r="H61" s="60"/>
      <c r="I61" s="60"/>
      <c r="J61" s="60"/>
      <c r="K61" s="60"/>
      <c r="L61" s="60"/>
      <c r="M61" s="60"/>
      <c r="N61" s="60"/>
      <c r="O61" s="60"/>
      <c r="P61" s="60"/>
      <c r="Q61" s="60"/>
      <c r="R61" s="60"/>
      <c r="S61" s="60"/>
      <c r="T61" s="60"/>
      <c r="U61" s="60"/>
      <c r="V61" s="60"/>
      <c r="W61" s="60"/>
    </row>
    <row r="62" spans="2:23">
      <c r="B62" s="107"/>
      <c r="C62" s="60"/>
      <c r="D62" s="60"/>
      <c r="E62" s="60"/>
      <c r="F62" s="60"/>
      <c r="G62" s="60"/>
      <c r="H62" s="60"/>
      <c r="I62" s="60"/>
      <c r="J62" s="60"/>
      <c r="K62" s="60"/>
      <c r="L62" s="60"/>
      <c r="M62" s="60"/>
      <c r="N62" s="60"/>
      <c r="O62" s="60"/>
      <c r="P62" s="60"/>
      <c r="Q62" s="60"/>
      <c r="R62" s="60"/>
      <c r="S62" s="60"/>
      <c r="T62" s="60"/>
      <c r="U62" s="60"/>
      <c r="V62" s="60"/>
      <c r="W62" s="60"/>
    </row>
    <row r="63" spans="2:23">
      <c r="B63" s="107"/>
      <c r="C63" s="60"/>
      <c r="D63" s="60"/>
      <c r="E63" s="60"/>
      <c r="F63" s="60"/>
      <c r="G63" s="60"/>
      <c r="H63" s="60"/>
      <c r="I63" s="60"/>
      <c r="J63" s="60"/>
      <c r="K63" s="60"/>
      <c r="L63" s="60"/>
      <c r="M63" s="60"/>
      <c r="N63" s="60"/>
      <c r="O63" s="60"/>
      <c r="P63" s="60"/>
      <c r="Q63" s="60"/>
      <c r="R63" s="60"/>
      <c r="S63" s="60"/>
      <c r="T63" s="60"/>
      <c r="U63" s="60"/>
      <c r="V63" s="60"/>
      <c r="W63" s="60"/>
    </row>
    <row r="64" spans="2:23">
      <c r="B64" s="107"/>
      <c r="C64" s="60"/>
      <c r="D64" s="60"/>
      <c r="E64" s="60"/>
      <c r="F64" s="60"/>
      <c r="G64" s="60"/>
      <c r="H64" s="60"/>
      <c r="I64" s="60"/>
      <c r="J64" s="60"/>
      <c r="K64" s="60"/>
      <c r="L64" s="60"/>
      <c r="M64" s="60"/>
      <c r="N64" s="60"/>
      <c r="O64" s="60"/>
      <c r="P64" s="60"/>
      <c r="Q64" s="60"/>
      <c r="R64" s="60"/>
      <c r="S64" s="60"/>
      <c r="T64" s="60"/>
      <c r="U64" s="60"/>
      <c r="V64" s="60"/>
      <c r="W64" s="60"/>
    </row>
    <row r="65" spans="2:23">
      <c r="B65" s="107"/>
      <c r="C65" s="60"/>
      <c r="D65" s="60"/>
      <c r="E65" s="60"/>
      <c r="F65" s="60"/>
      <c r="G65" s="60"/>
      <c r="H65" s="60"/>
      <c r="I65" s="60"/>
      <c r="J65" s="60"/>
      <c r="K65" s="60"/>
      <c r="L65" s="60"/>
      <c r="M65" s="60"/>
      <c r="N65" s="60"/>
      <c r="O65" s="60"/>
      <c r="P65" s="60"/>
      <c r="Q65" s="60"/>
      <c r="R65" s="60"/>
      <c r="S65" s="60"/>
      <c r="T65" s="60"/>
      <c r="U65" s="60"/>
      <c r="V65" s="60"/>
      <c r="W65" s="60"/>
    </row>
    <row r="66" spans="2:23">
      <c r="B66" s="107"/>
      <c r="C66" s="60"/>
      <c r="D66" s="60"/>
      <c r="E66" s="60"/>
      <c r="F66" s="60"/>
      <c r="G66" s="60"/>
      <c r="H66" s="60"/>
      <c r="I66" s="60"/>
      <c r="J66" s="60"/>
      <c r="K66" s="60"/>
      <c r="L66" s="60"/>
      <c r="M66" s="60"/>
      <c r="N66" s="60"/>
      <c r="O66" s="60"/>
      <c r="P66" s="60"/>
      <c r="Q66" s="60"/>
      <c r="R66" s="60"/>
      <c r="S66" s="60"/>
      <c r="T66" s="60"/>
      <c r="U66" s="60"/>
      <c r="V66" s="60"/>
      <c r="W66" s="60"/>
    </row>
    <row r="67" spans="2:23">
      <c r="B67" s="107"/>
      <c r="C67" s="60"/>
      <c r="D67" s="60"/>
      <c r="E67" s="60"/>
      <c r="F67" s="60"/>
      <c r="G67" s="60"/>
      <c r="H67" s="60"/>
      <c r="I67" s="60"/>
      <c r="J67" s="60"/>
      <c r="K67" s="60"/>
      <c r="L67" s="60"/>
      <c r="M67" s="60"/>
      <c r="N67" s="60"/>
      <c r="O67" s="60"/>
      <c r="P67" s="60"/>
      <c r="Q67" s="60"/>
      <c r="R67" s="60"/>
      <c r="S67" s="60"/>
      <c r="T67" s="60"/>
      <c r="U67" s="60"/>
      <c r="V67" s="60"/>
      <c r="W67" s="60"/>
    </row>
    <row r="68" spans="2:23">
      <c r="B68" s="107"/>
      <c r="C68" s="60"/>
      <c r="D68" s="60"/>
      <c r="E68" s="60"/>
      <c r="F68" s="60"/>
      <c r="G68" s="60"/>
      <c r="H68" s="60"/>
      <c r="I68" s="60"/>
      <c r="J68" s="60"/>
      <c r="K68" s="60"/>
      <c r="L68" s="60"/>
      <c r="M68" s="60"/>
      <c r="N68" s="60"/>
      <c r="O68" s="60"/>
      <c r="P68" s="60"/>
      <c r="Q68" s="60"/>
      <c r="R68" s="60"/>
      <c r="S68" s="60"/>
      <c r="T68" s="60"/>
      <c r="U68" s="60"/>
      <c r="V68" s="60"/>
      <c r="W68" s="60"/>
    </row>
    <row r="69" spans="2:23">
      <c r="B69" s="107"/>
      <c r="C69" s="60"/>
      <c r="D69" s="60"/>
      <c r="E69" s="60"/>
      <c r="F69" s="60"/>
      <c r="G69" s="60"/>
      <c r="H69" s="60"/>
      <c r="I69" s="60"/>
      <c r="J69" s="60"/>
      <c r="K69" s="60"/>
      <c r="L69" s="60"/>
      <c r="M69" s="60"/>
      <c r="N69" s="60"/>
      <c r="O69" s="60"/>
      <c r="P69" s="60"/>
      <c r="Q69" s="60"/>
      <c r="R69" s="60"/>
      <c r="S69" s="60"/>
      <c r="T69" s="60"/>
      <c r="U69" s="60"/>
      <c r="V69" s="60"/>
      <c r="W69" s="60"/>
    </row>
    <row r="70" spans="2:23">
      <c r="B70" s="107"/>
      <c r="C70" s="60"/>
      <c r="D70" s="60"/>
      <c r="E70" s="60"/>
      <c r="F70" s="60"/>
      <c r="G70" s="60"/>
      <c r="H70" s="60"/>
      <c r="I70" s="60"/>
      <c r="J70" s="60"/>
      <c r="K70" s="60"/>
      <c r="L70" s="60"/>
      <c r="M70" s="60"/>
      <c r="N70" s="60"/>
      <c r="O70" s="60"/>
      <c r="P70" s="60"/>
      <c r="Q70" s="60"/>
      <c r="R70" s="60"/>
      <c r="S70" s="60"/>
      <c r="T70" s="60"/>
      <c r="U70" s="60"/>
      <c r="V70" s="60"/>
      <c r="W70" s="60"/>
    </row>
    <row r="71" spans="2:23">
      <c r="B71" s="107"/>
      <c r="C71" s="60"/>
      <c r="D71" s="60"/>
      <c r="E71" s="60"/>
      <c r="F71" s="60"/>
      <c r="G71" s="60"/>
      <c r="H71" s="60"/>
      <c r="I71" s="60"/>
      <c r="J71" s="60"/>
      <c r="K71" s="60"/>
      <c r="L71" s="60"/>
      <c r="M71" s="60"/>
      <c r="N71" s="60"/>
      <c r="O71" s="60"/>
      <c r="P71" s="60"/>
      <c r="Q71" s="60"/>
      <c r="R71" s="60"/>
      <c r="S71" s="60"/>
      <c r="T71" s="60"/>
      <c r="U71" s="60"/>
      <c r="V71" s="60"/>
      <c r="W71" s="60"/>
    </row>
    <row r="72" spans="2:23">
      <c r="B72" s="107"/>
      <c r="C72" s="60"/>
      <c r="D72" s="60"/>
      <c r="E72" s="60"/>
      <c r="F72" s="60"/>
      <c r="G72" s="60"/>
      <c r="H72" s="60"/>
      <c r="I72" s="60"/>
      <c r="J72" s="60"/>
      <c r="K72" s="60"/>
      <c r="L72" s="60"/>
      <c r="M72" s="60"/>
      <c r="N72" s="60"/>
      <c r="O72" s="60"/>
      <c r="P72" s="60"/>
      <c r="Q72" s="60"/>
      <c r="R72" s="60"/>
      <c r="S72" s="60"/>
      <c r="T72" s="60"/>
      <c r="U72" s="60"/>
      <c r="V72" s="60"/>
      <c r="W72" s="60"/>
    </row>
    <row r="73" spans="2:23">
      <c r="B73" s="107"/>
      <c r="C73" s="60"/>
      <c r="D73" s="60"/>
      <c r="E73" s="60"/>
      <c r="F73" s="60"/>
      <c r="G73" s="60"/>
      <c r="H73" s="60"/>
      <c r="I73" s="60"/>
      <c r="J73" s="60"/>
      <c r="K73" s="60"/>
      <c r="L73" s="60"/>
      <c r="M73" s="60"/>
      <c r="N73" s="60"/>
      <c r="O73" s="60"/>
      <c r="P73" s="60"/>
      <c r="Q73" s="60"/>
      <c r="R73" s="60"/>
      <c r="S73" s="60"/>
      <c r="T73" s="60"/>
      <c r="U73" s="60"/>
      <c r="V73" s="60"/>
      <c r="W73" s="60"/>
    </row>
    <row r="74" spans="2:23">
      <c r="B74" s="107"/>
      <c r="C74" s="60"/>
      <c r="D74" s="60"/>
      <c r="E74" s="60"/>
      <c r="F74" s="60"/>
      <c r="G74" s="60"/>
      <c r="H74" s="60"/>
      <c r="I74" s="60"/>
      <c r="J74" s="60"/>
      <c r="K74" s="60"/>
      <c r="L74" s="60"/>
      <c r="M74" s="60"/>
      <c r="N74" s="60"/>
      <c r="O74" s="60"/>
      <c r="P74" s="60"/>
      <c r="Q74" s="60"/>
      <c r="R74" s="60"/>
      <c r="S74" s="60"/>
      <c r="T74" s="60"/>
      <c r="U74" s="60"/>
      <c r="V74" s="60"/>
      <c r="W74" s="60"/>
    </row>
    <row r="75" spans="2:23">
      <c r="B75" s="107"/>
      <c r="C75" s="60"/>
      <c r="D75" s="60"/>
      <c r="E75" s="60"/>
      <c r="F75" s="60"/>
      <c r="G75" s="60"/>
      <c r="H75" s="60"/>
      <c r="I75" s="60"/>
      <c r="J75" s="60"/>
      <c r="K75" s="60"/>
      <c r="L75" s="60"/>
      <c r="M75" s="60"/>
      <c r="N75" s="60"/>
      <c r="O75" s="60"/>
      <c r="P75" s="60"/>
      <c r="Q75" s="60"/>
      <c r="R75" s="60"/>
      <c r="S75" s="60"/>
      <c r="T75" s="60"/>
      <c r="U75" s="60"/>
      <c r="V75" s="60"/>
      <c r="W75" s="60"/>
    </row>
    <row r="76" spans="2:23">
      <c r="B76" s="107"/>
      <c r="C76" s="60"/>
      <c r="D76" s="60"/>
      <c r="E76" s="60"/>
      <c r="F76" s="60"/>
      <c r="G76" s="60"/>
      <c r="H76" s="60"/>
      <c r="I76" s="60"/>
      <c r="J76" s="60"/>
      <c r="K76" s="60"/>
      <c r="L76" s="60"/>
      <c r="M76" s="60"/>
      <c r="N76" s="60"/>
      <c r="O76" s="60"/>
      <c r="P76" s="60"/>
      <c r="Q76" s="60"/>
      <c r="R76" s="60"/>
      <c r="S76" s="60"/>
      <c r="T76" s="60"/>
      <c r="U76" s="60"/>
      <c r="V76" s="60"/>
      <c r="W76" s="60"/>
    </row>
    <row r="77" spans="2:23">
      <c r="B77" s="107"/>
      <c r="C77" s="60"/>
      <c r="D77" s="60"/>
      <c r="E77" s="60"/>
      <c r="F77" s="60"/>
      <c r="G77" s="60"/>
      <c r="H77" s="60"/>
      <c r="I77" s="60"/>
      <c r="J77" s="60"/>
      <c r="K77" s="60"/>
      <c r="L77" s="60"/>
      <c r="M77" s="60"/>
      <c r="N77" s="60"/>
      <c r="O77" s="60"/>
      <c r="P77" s="60"/>
      <c r="Q77" s="60"/>
      <c r="R77" s="60"/>
      <c r="S77" s="60"/>
      <c r="T77" s="60"/>
      <c r="U77" s="60"/>
      <c r="V77" s="60"/>
      <c r="W77" s="60"/>
    </row>
    <row r="78" spans="2:23">
      <c r="B78" s="107"/>
      <c r="C78" s="60"/>
      <c r="D78" s="60"/>
      <c r="E78" s="60"/>
      <c r="F78" s="60"/>
      <c r="G78" s="60"/>
      <c r="H78" s="60"/>
      <c r="I78" s="60"/>
      <c r="J78" s="60"/>
      <c r="K78" s="60"/>
      <c r="L78" s="60"/>
      <c r="M78" s="60"/>
      <c r="N78" s="60"/>
      <c r="O78" s="60"/>
      <c r="P78" s="60"/>
      <c r="Q78" s="60"/>
      <c r="R78" s="60"/>
      <c r="S78" s="60"/>
      <c r="T78" s="60"/>
      <c r="U78" s="60"/>
      <c r="V78" s="60"/>
      <c r="W78" s="60"/>
    </row>
    <row r="79" spans="2:23">
      <c r="B79" s="107"/>
      <c r="C79" s="60"/>
      <c r="D79" s="60"/>
      <c r="E79" s="60"/>
      <c r="F79" s="60"/>
      <c r="G79" s="60"/>
      <c r="H79" s="60"/>
      <c r="I79" s="60"/>
      <c r="J79" s="60"/>
      <c r="K79" s="60"/>
      <c r="L79" s="60"/>
      <c r="M79" s="60"/>
      <c r="N79" s="60"/>
      <c r="O79" s="60"/>
      <c r="P79" s="60"/>
      <c r="Q79" s="60"/>
      <c r="R79" s="60"/>
      <c r="S79" s="60"/>
      <c r="T79" s="60"/>
      <c r="U79" s="60"/>
      <c r="V79" s="60"/>
      <c r="W79" s="60"/>
    </row>
    <row r="80" spans="2:23">
      <c r="B80" s="107"/>
      <c r="C80" s="60"/>
      <c r="D80" s="60"/>
      <c r="E80" s="60"/>
      <c r="F80" s="60"/>
      <c r="G80" s="60"/>
      <c r="H80" s="60"/>
      <c r="I80" s="60"/>
      <c r="J80" s="60"/>
      <c r="K80" s="60"/>
      <c r="L80" s="60"/>
      <c r="M80" s="60"/>
      <c r="N80" s="60"/>
      <c r="O80" s="60"/>
      <c r="P80" s="60"/>
      <c r="Q80" s="60"/>
      <c r="R80" s="60"/>
      <c r="S80" s="60"/>
      <c r="T80" s="60"/>
      <c r="U80" s="60"/>
      <c r="V80" s="60"/>
      <c r="W80" s="60"/>
    </row>
    <row r="81" spans="2:23">
      <c r="B81" s="107"/>
      <c r="C81" s="60"/>
      <c r="D81" s="60"/>
      <c r="E81" s="60"/>
      <c r="F81" s="60"/>
      <c r="G81" s="60"/>
      <c r="H81" s="60"/>
      <c r="I81" s="60"/>
      <c r="J81" s="60"/>
      <c r="K81" s="60"/>
      <c r="L81" s="60"/>
      <c r="M81" s="60"/>
      <c r="N81" s="60"/>
      <c r="O81" s="60"/>
      <c r="P81" s="60"/>
      <c r="Q81" s="60"/>
      <c r="R81" s="60"/>
      <c r="S81" s="60"/>
      <c r="T81" s="60"/>
      <c r="U81" s="60"/>
      <c r="V81" s="60"/>
      <c r="W81" s="60"/>
    </row>
    <row r="82" spans="2:23">
      <c r="B82" s="107"/>
      <c r="C82" s="60"/>
      <c r="D82" s="60"/>
      <c r="E82" s="60"/>
      <c r="F82" s="60"/>
      <c r="G82" s="60"/>
      <c r="H82" s="60"/>
      <c r="I82" s="60"/>
      <c r="J82" s="60"/>
      <c r="K82" s="60"/>
      <c r="L82" s="60"/>
      <c r="M82" s="60"/>
      <c r="N82" s="60"/>
      <c r="O82" s="60"/>
      <c r="P82" s="60"/>
      <c r="Q82" s="60"/>
      <c r="R82" s="60"/>
      <c r="S82" s="60"/>
      <c r="T82" s="60"/>
      <c r="U82" s="60"/>
      <c r="V82" s="60"/>
      <c r="W82" s="60"/>
    </row>
    <row r="83" spans="2:23">
      <c r="B83" s="107"/>
      <c r="C83" s="60"/>
      <c r="D83" s="60"/>
      <c r="E83" s="60"/>
      <c r="F83" s="60"/>
      <c r="G83" s="60"/>
      <c r="H83" s="60"/>
      <c r="I83" s="60"/>
      <c r="J83" s="60"/>
      <c r="K83" s="60"/>
      <c r="L83" s="60"/>
      <c r="M83" s="60"/>
      <c r="N83" s="60"/>
      <c r="O83" s="60"/>
      <c r="P83" s="60"/>
      <c r="Q83" s="60"/>
      <c r="R83" s="60"/>
      <c r="S83" s="60"/>
      <c r="T83" s="60"/>
      <c r="U83" s="60"/>
      <c r="V83" s="60"/>
      <c r="W83" s="60"/>
    </row>
    <row r="84" spans="2:23">
      <c r="B84" s="107"/>
      <c r="C84" s="60"/>
      <c r="D84" s="60"/>
      <c r="E84" s="60"/>
      <c r="F84" s="60"/>
      <c r="G84" s="60"/>
      <c r="H84" s="60"/>
      <c r="I84" s="60"/>
      <c r="J84" s="60"/>
      <c r="K84" s="60"/>
      <c r="L84" s="60"/>
      <c r="M84" s="60"/>
      <c r="N84" s="60"/>
      <c r="O84" s="60"/>
      <c r="P84" s="60"/>
      <c r="Q84" s="60"/>
      <c r="R84" s="60"/>
      <c r="S84" s="60"/>
      <c r="T84" s="60"/>
      <c r="U84" s="60"/>
      <c r="V84" s="60"/>
      <c r="W84" s="60"/>
    </row>
    <row r="85" spans="2:23">
      <c r="B85" s="107"/>
      <c r="C85" s="60"/>
      <c r="D85" s="60"/>
      <c r="E85" s="60"/>
      <c r="F85" s="60"/>
      <c r="G85" s="60"/>
      <c r="H85" s="60"/>
      <c r="I85" s="60"/>
      <c r="J85" s="60"/>
      <c r="K85" s="60"/>
      <c r="L85" s="60"/>
      <c r="M85" s="60"/>
      <c r="N85" s="60"/>
      <c r="O85" s="60"/>
      <c r="P85" s="60"/>
      <c r="Q85" s="60"/>
      <c r="R85" s="60"/>
      <c r="S85" s="60"/>
      <c r="T85" s="60"/>
      <c r="U85" s="60"/>
      <c r="V85" s="60"/>
      <c r="W85" s="60"/>
    </row>
    <row r="86" spans="2:23">
      <c r="B86" s="107"/>
      <c r="C86" s="60"/>
      <c r="D86" s="60"/>
      <c r="E86" s="60"/>
      <c r="F86" s="60"/>
      <c r="G86" s="60"/>
      <c r="H86" s="60"/>
      <c r="I86" s="60"/>
      <c r="J86" s="60"/>
      <c r="K86" s="60"/>
      <c r="L86" s="60"/>
      <c r="M86" s="60"/>
      <c r="N86" s="60"/>
      <c r="O86" s="60"/>
      <c r="P86" s="60"/>
      <c r="Q86" s="60"/>
      <c r="R86" s="60"/>
      <c r="S86" s="60"/>
      <c r="T86" s="60"/>
      <c r="U86" s="60"/>
      <c r="V86" s="60"/>
      <c r="W86" s="60"/>
    </row>
    <row r="87" spans="2:23">
      <c r="B87" s="107"/>
      <c r="C87" s="60"/>
      <c r="D87" s="60"/>
      <c r="E87" s="60"/>
      <c r="F87" s="60"/>
      <c r="G87" s="60"/>
      <c r="H87" s="60"/>
      <c r="I87" s="60"/>
      <c r="J87" s="60"/>
      <c r="K87" s="60"/>
      <c r="L87" s="60"/>
      <c r="M87" s="60"/>
      <c r="N87" s="60"/>
      <c r="O87" s="60"/>
      <c r="P87" s="60"/>
      <c r="Q87" s="60"/>
      <c r="R87" s="60"/>
      <c r="S87" s="60"/>
      <c r="T87" s="60"/>
      <c r="U87" s="60"/>
      <c r="V87" s="60"/>
      <c r="W87" s="60"/>
    </row>
    <row r="88" spans="2:23">
      <c r="B88" s="107"/>
      <c r="C88" s="60"/>
      <c r="D88" s="60"/>
      <c r="E88" s="60"/>
      <c r="F88" s="60"/>
      <c r="G88" s="60"/>
      <c r="H88" s="60"/>
      <c r="I88" s="60"/>
      <c r="J88" s="60"/>
      <c r="K88" s="60"/>
      <c r="L88" s="60"/>
      <c r="M88" s="60"/>
      <c r="N88" s="60"/>
      <c r="O88" s="60"/>
      <c r="P88" s="60"/>
      <c r="Q88" s="60"/>
      <c r="R88" s="60"/>
      <c r="S88" s="60"/>
      <c r="T88" s="60"/>
      <c r="U88" s="60"/>
      <c r="V88" s="60"/>
      <c r="W88" s="60"/>
    </row>
    <row r="89" spans="2:23">
      <c r="B89" s="107"/>
      <c r="C89" s="60"/>
      <c r="D89" s="60"/>
      <c r="E89" s="60"/>
      <c r="F89" s="60"/>
      <c r="G89" s="60"/>
      <c r="H89" s="60"/>
      <c r="I89" s="60"/>
      <c r="J89" s="60"/>
      <c r="K89" s="60"/>
      <c r="L89" s="60"/>
      <c r="M89" s="60"/>
      <c r="N89" s="60"/>
      <c r="O89" s="60"/>
      <c r="P89" s="60"/>
      <c r="Q89" s="60"/>
      <c r="R89" s="60"/>
      <c r="S89" s="60"/>
      <c r="T89" s="60"/>
      <c r="U89" s="60"/>
      <c r="V89" s="60"/>
      <c r="W89" s="60"/>
    </row>
    <row r="90" spans="2:23">
      <c r="B90" s="107"/>
      <c r="C90" s="60"/>
      <c r="D90" s="60"/>
      <c r="E90" s="60"/>
      <c r="F90" s="60"/>
      <c r="G90" s="60"/>
      <c r="H90" s="60"/>
      <c r="I90" s="60"/>
      <c r="J90" s="60"/>
      <c r="K90" s="60"/>
      <c r="L90" s="60"/>
      <c r="M90" s="60"/>
      <c r="N90" s="60"/>
      <c r="O90" s="60"/>
      <c r="P90" s="60"/>
      <c r="Q90" s="60"/>
      <c r="R90" s="60"/>
      <c r="S90" s="60"/>
      <c r="T90" s="60"/>
      <c r="U90" s="60"/>
      <c r="V90" s="60"/>
      <c r="W90" s="60"/>
    </row>
    <row r="91" spans="2:23">
      <c r="B91" s="107"/>
      <c r="C91" s="60"/>
      <c r="D91" s="60"/>
      <c r="E91" s="60"/>
      <c r="F91" s="60"/>
      <c r="G91" s="60"/>
      <c r="H91" s="60"/>
      <c r="I91" s="60"/>
      <c r="J91" s="60"/>
      <c r="K91" s="60"/>
      <c r="L91" s="60"/>
      <c r="M91" s="60"/>
      <c r="N91" s="60"/>
      <c r="O91" s="60"/>
      <c r="P91" s="60"/>
      <c r="Q91" s="60"/>
      <c r="R91" s="60"/>
      <c r="S91" s="60"/>
      <c r="T91" s="60"/>
      <c r="U91" s="60"/>
      <c r="V91" s="60"/>
      <c r="W91" s="60"/>
    </row>
    <row r="92" spans="2:23">
      <c r="B92" s="107"/>
      <c r="C92" s="60"/>
      <c r="D92" s="60"/>
      <c r="E92" s="60"/>
      <c r="F92" s="60"/>
      <c r="G92" s="60"/>
      <c r="H92" s="60"/>
      <c r="I92" s="60"/>
      <c r="J92" s="60"/>
      <c r="K92" s="60"/>
      <c r="L92" s="60"/>
      <c r="M92" s="60"/>
      <c r="N92" s="60"/>
      <c r="O92" s="60"/>
      <c r="P92" s="60"/>
      <c r="Q92" s="60"/>
      <c r="R92" s="60"/>
      <c r="S92" s="60"/>
      <c r="T92" s="60"/>
      <c r="U92" s="60"/>
      <c r="V92" s="60"/>
      <c r="W92" s="60"/>
    </row>
    <row r="93" spans="2:23">
      <c r="B93" s="107"/>
      <c r="C93" s="60"/>
      <c r="D93" s="60"/>
      <c r="E93" s="60"/>
      <c r="F93" s="60"/>
      <c r="G93" s="60"/>
      <c r="H93" s="60"/>
      <c r="I93" s="60"/>
      <c r="J93" s="60"/>
      <c r="K93" s="60"/>
      <c r="L93" s="60"/>
      <c r="M93" s="60"/>
      <c r="N93" s="60"/>
      <c r="O93" s="60"/>
      <c r="P93" s="60"/>
      <c r="Q93" s="60"/>
      <c r="R93" s="60"/>
      <c r="S93" s="60"/>
      <c r="T93" s="60"/>
      <c r="U93" s="60"/>
      <c r="V93" s="60"/>
      <c r="W93" s="60"/>
    </row>
    <row r="94" spans="2:23">
      <c r="B94" s="107"/>
      <c r="C94" s="60"/>
      <c r="D94" s="60"/>
      <c r="E94" s="60"/>
      <c r="F94" s="60"/>
      <c r="G94" s="60"/>
      <c r="H94" s="60"/>
      <c r="I94" s="60"/>
      <c r="J94" s="60"/>
      <c r="K94" s="60"/>
      <c r="L94" s="60"/>
      <c r="M94" s="60"/>
      <c r="N94" s="60"/>
      <c r="O94" s="60"/>
      <c r="P94" s="60"/>
      <c r="Q94" s="60"/>
      <c r="R94" s="60"/>
      <c r="S94" s="60"/>
      <c r="T94" s="60"/>
      <c r="U94" s="60"/>
      <c r="V94" s="60"/>
      <c r="W94" s="60"/>
    </row>
    <row r="95" spans="2:23">
      <c r="B95" s="107"/>
      <c r="C95" s="60"/>
      <c r="D95" s="60"/>
      <c r="E95" s="60"/>
      <c r="F95" s="60"/>
      <c r="G95" s="60"/>
      <c r="H95" s="60"/>
      <c r="I95" s="60"/>
      <c r="J95" s="60"/>
      <c r="K95" s="60"/>
      <c r="L95" s="60"/>
      <c r="M95" s="60"/>
      <c r="N95" s="60"/>
      <c r="O95" s="60"/>
      <c r="P95" s="60"/>
      <c r="Q95" s="60"/>
      <c r="R95" s="60"/>
      <c r="S95" s="60"/>
      <c r="T95" s="60"/>
      <c r="U95" s="60"/>
      <c r="V95" s="60"/>
      <c r="W95" s="60"/>
    </row>
    <row r="96" spans="2:23">
      <c r="B96" s="107"/>
      <c r="C96" s="60"/>
      <c r="D96" s="60"/>
      <c r="E96" s="60"/>
      <c r="F96" s="60"/>
      <c r="G96" s="60"/>
      <c r="H96" s="60"/>
      <c r="I96" s="60"/>
      <c r="J96" s="60"/>
      <c r="K96" s="60"/>
      <c r="L96" s="60"/>
      <c r="M96" s="60"/>
      <c r="N96" s="60"/>
      <c r="O96" s="60"/>
      <c r="P96" s="60"/>
      <c r="Q96" s="60"/>
      <c r="R96" s="60"/>
      <c r="S96" s="60"/>
      <c r="T96" s="60"/>
      <c r="U96" s="60"/>
      <c r="V96" s="60"/>
      <c r="W96" s="60"/>
    </row>
    <row r="97" spans="2:23">
      <c r="B97" s="107"/>
      <c r="C97" s="60"/>
      <c r="D97" s="60"/>
      <c r="E97" s="60"/>
      <c r="F97" s="60"/>
      <c r="G97" s="60"/>
      <c r="H97" s="60"/>
      <c r="I97" s="60"/>
      <c r="J97" s="60"/>
      <c r="K97" s="60"/>
      <c r="L97" s="60"/>
      <c r="M97" s="60"/>
      <c r="N97" s="60"/>
      <c r="O97" s="60"/>
      <c r="P97" s="60"/>
      <c r="Q97" s="60"/>
      <c r="R97" s="60"/>
      <c r="S97" s="60"/>
      <c r="T97" s="60"/>
      <c r="U97" s="60"/>
      <c r="V97" s="60"/>
      <c r="W97" s="60"/>
    </row>
    <row r="98" spans="2:23">
      <c r="B98" s="107"/>
      <c r="C98" s="60"/>
      <c r="D98" s="60"/>
      <c r="E98" s="60"/>
      <c r="F98" s="60"/>
      <c r="G98" s="60"/>
      <c r="H98" s="60"/>
      <c r="I98" s="60"/>
      <c r="J98" s="60"/>
      <c r="K98" s="60"/>
      <c r="L98" s="60"/>
      <c r="M98" s="60"/>
      <c r="N98" s="60"/>
      <c r="O98" s="60"/>
      <c r="P98" s="60"/>
      <c r="Q98" s="60"/>
      <c r="R98" s="60"/>
      <c r="S98" s="60"/>
      <c r="T98" s="60"/>
      <c r="U98" s="60"/>
      <c r="V98" s="60"/>
      <c r="W98" s="60"/>
    </row>
    <row r="99" spans="2:23">
      <c r="B99" s="107"/>
      <c r="C99" s="60"/>
      <c r="D99" s="60"/>
      <c r="E99" s="60"/>
      <c r="F99" s="60"/>
      <c r="G99" s="60"/>
      <c r="H99" s="60"/>
      <c r="I99" s="60"/>
      <c r="J99" s="60"/>
      <c r="K99" s="60"/>
      <c r="L99" s="60"/>
      <c r="M99" s="60"/>
      <c r="N99" s="60"/>
      <c r="O99" s="60"/>
      <c r="P99" s="60"/>
      <c r="Q99" s="60"/>
      <c r="R99" s="60"/>
      <c r="S99" s="60"/>
      <c r="T99" s="60"/>
      <c r="U99" s="60"/>
      <c r="V99" s="60"/>
      <c r="W99" s="60"/>
    </row>
    <row r="100" spans="2:23">
      <c r="B100" s="107"/>
      <c r="C100" s="60"/>
      <c r="D100" s="60"/>
      <c r="E100" s="60"/>
      <c r="F100" s="60"/>
      <c r="G100" s="60"/>
      <c r="H100" s="60"/>
      <c r="I100" s="60"/>
      <c r="J100" s="60"/>
      <c r="K100" s="60"/>
      <c r="L100" s="60"/>
      <c r="M100" s="60"/>
      <c r="N100" s="60"/>
      <c r="O100" s="60"/>
      <c r="P100" s="60"/>
      <c r="Q100" s="60"/>
      <c r="R100" s="60"/>
      <c r="S100" s="60"/>
      <c r="T100" s="60"/>
      <c r="U100" s="60"/>
      <c r="V100" s="60"/>
      <c r="W100" s="60"/>
    </row>
    <row r="101" spans="2:23">
      <c r="B101" s="107"/>
      <c r="C101" s="60"/>
      <c r="D101" s="60"/>
      <c r="E101" s="60"/>
      <c r="F101" s="60"/>
      <c r="G101" s="60"/>
      <c r="H101" s="60"/>
      <c r="I101" s="60"/>
      <c r="J101" s="60"/>
      <c r="K101" s="60"/>
      <c r="L101" s="60"/>
      <c r="M101" s="60"/>
      <c r="N101" s="60"/>
      <c r="O101" s="60"/>
      <c r="P101" s="60"/>
      <c r="Q101" s="60"/>
      <c r="R101" s="60"/>
      <c r="S101" s="60"/>
      <c r="T101" s="60"/>
      <c r="U101" s="60"/>
      <c r="V101" s="60"/>
      <c r="W101" s="60"/>
    </row>
    <row r="102" spans="2:23">
      <c r="B102" s="107"/>
      <c r="C102" s="60"/>
      <c r="D102" s="60"/>
      <c r="E102" s="60"/>
      <c r="F102" s="60"/>
      <c r="G102" s="60"/>
      <c r="H102" s="60"/>
      <c r="I102" s="60"/>
      <c r="J102" s="60"/>
      <c r="K102" s="60"/>
      <c r="L102" s="60"/>
      <c r="M102" s="60"/>
      <c r="N102" s="60"/>
      <c r="O102" s="60"/>
      <c r="P102" s="60"/>
      <c r="Q102" s="60"/>
      <c r="R102" s="60"/>
      <c r="S102" s="60"/>
      <c r="T102" s="60"/>
      <c r="U102" s="60"/>
      <c r="V102" s="60"/>
      <c r="W102" s="60"/>
    </row>
    <row r="103" spans="2:23">
      <c r="B103" s="107"/>
      <c r="C103" s="60"/>
      <c r="D103" s="60"/>
      <c r="E103" s="60"/>
      <c r="F103" s="60"/>
      <c r="G103" s="60"/>
      <c r="H103" s="60"/>
      <c r="I103" s="60"/>
      <c r="J103" s="60"/>
      <c r="K103" s="60"/>
      <c r="L103" s="60"/>
      <c r="M103" s="60"/>
      <c r="N103" s="60"/>
      <c r="O103" s="60"/>
      <c r="P103" s="60"/>
      <c r="Q103" s="60"/>
      <c r="R103" s="60"/>
      <c r="S103" s="60"/>
      <c r="T103" s="60"/>
      <c r="U103" s="60"/>
      <c r="V103" s="60"/>
      <c r="W103" s="60"/>
    </row>
    <row r="104" spans="2:23">
      <c r="B104" s="107"/>
      <c r="C104" s="60"/>
      <c r="D104" s="60"/>
      <c r="E104" s="60"/>
      <c r="F104" s="60"/>
      <c r="G104" s="60"/>
      <c r="H104" s="60"/>
      <c r="I104" s="60"/>
      <c r="J104" s="60"/>
      <c r="K104" s="60"/>
      <c r="L104" s="60"/>
      <c r="M104" s="60"/>
      <c r="N104" s="60"/>
      <c r="O104" s="60"/>
      <c r="P104" s="60"/>
      <c r="Q104" s="60"/>
      <c r="R104" s="60"/>
      <c r="S104" s="60"/>
      <c r="T104" s="60"/>
      <c r="U104" s="60"/>
      <c r="V104" s="60"/>
      <c r="W104" s="60"/>
    </row>
    <row r="105" spans="2:23">
      <c r="B105" s="107"/>
      <c r="C105" s="60"/>
      <c r="D105" s="60"/>
      <c r="E105" s="60"/>
      <c r="F105" s="60"/>
      <c r="G105" s="60"/>
      <c r="H105" s="60"/>
      <c r="I105" s="60"/>
      <c r="J105" s="60"/>
      <c r="K105" s="60"/>
      <c r="L105" s="60"/>
      <c r="M105" s="60"/>
      <c r="N105" s="60"/>
      <c r="O105" s="60"/>
      <c r="P105" s="60"/>
      <c r="Q105" s="60"/>
      <c r="R105" s="60"/>
      <c r="S105" s="60"/>
      <c r="T105" s="60"/>
      <c r="U105" s="60"/>
      <c r="V105" s="60"/>
      <c r="W105" s="60"/>
    </row>
  </sheetData>
  <printOptions horizontalCentered="1"/>
  <pageMargins left="0.25" right="0.25" top="1" bottom="1" header="0.65" footer="0.5"/>
  <pageSetup scale="65" orientation="landscape" horizontalDpi="1200" verticalDpi="1200" r:id="rId1"/>
  <headerFooter alignWithMargins="0">
    <oddHeader xml:space="preserve">&amp;R&amp;16AEP - SPP Transco Formula Rate
Schedule 1 Rates
Page: &amp;P of &amp;N
</oddHeader>
    <oddFooter xml:space="preserve">&amp;C &amp;R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K30"/>
  <sheetViews>
    <sheetView zoomScale="81" zoomScaleNormal="81" zoomScaleSheetLayoutView="100" zoomScalePageLayoutView="81" workbookViewId="0">
      <selection activeCell="G17" sqref="G17"/>
    </sheetView>
  </sheetViews>
  <sheetFormatPr defaultColWidth="9.1796875" defaultRowHeight="12.5"/>
  <cols>
    <col min="1" max="1" width="3.54296875" style="673" customWidth="1"/>
    <col min="2" max="2" width="7.26953125" style="673" customWidth="1"/>
    <col min="3" max="3" width="2.453125" style="673" customWidth="1"/>
    <col min="4" max="4" width="29.453125" style="673" customWidth="1"/>
    <col min="5" max="5" width="26.453125" style="673" customWidth="1"/>
    <col min="6" max="6" width="24.1796875" style="673" bestFit="1" customWidth="1"/>
    <col min="7" max="7" width="22.81640625" style="673" customWidth="1"/>
    <col min="8" max="8" width="7.453125" style="673" customWidth="1"/>
    <col min="9" max="16384" width="9.1796875" style="673"/>
  </cols>
  <sheetData>
    <row r="1" spans="1:11" ht="15.5">
      <c r="A1" s="551"/>
    </row>
    <row r="2" spans="1:11" ht="19.5" customHeight="1">
      <c r="A2" s="1996" t="str">
        <f>+'OKT TCOS'!F4</f>
        <v xml:space="preserve">AEP West SPP Member Transmission Companies </v>
      </c>
      <c r="B2" s="1996"/>
      <c r="C2" s="1996"/>
      <c r="D2" s="1996"/>
      <c r="E2" s="1996"/>
      <c r="F2" s="1996"/>
      <c r="G2" s="1996"/>
      <c r="H2" s="1996"/>
      <c r="I2" s="278"/>
      <c r="J2" s="278"/>
      <c r="K2" s="278"/>
    </row>
    <row r="3" spans="1:11" ht="15.5">
      <c r="A3" s="1990" t="str">
        <f>+'OKT WS A-1 - Plant'!A3</f>
        <v xml:space="preserve">Actual / Projected 2019 Rate Year Cost of Service Formula Rate </v>
      </c>
      <c r="B3" s="1990"/>
      <c r="C3" s="1990"/>
      <c r="D3" s="1990"/>
      <c r="E3" s="1990"/>
      <c r="F3" s="1990"/>
      <c r="G3" s="1990"/>
      <c r="H3" s="1990"/>
      <c r="I3" s="422"/>
      <c r="J3" s="422"/>
      <c r="K3" s="422"/>
    </row>
    <row r="4" spans="1:11" ht="15.5">
      <c r="A4" s="1991" t="s">
        <v>113</v>
      </c>
      <c r="B4" s="1990"/>
      <c r="C4" s="1990"/>
      <c r="D4" s="1990"/>
      <c r="E4" s="1990"/>
      <c r="F4" s="1990"/>
      <c r="G4" s="1990"/>
      <c r="H4" s="1990"/>
      <c r="I4" s="422"/>
      <c r="J4" s="422"/>
      <c r="K4" s="422"/>
    </row>
    <row r="5" spans="1:11" ht="15.5">
      <c r="A5" s="2025" t="str">
        <f>+'OKT TCOS'!F8</f>
        <v>AEP OKLAHOMA TRANSMISSION COMPANY, INC.</v>
      </c>
      <c r="B5" s="2025"/>
      <c r="C5" s="2025"/>
      <c r="D5" s="2025"/>
      <c r="E5" s="2025"/>
      <c r="F5" s="2025"/>
      <c r="G5" s="2025"/>
      <c r="H5" s="2025"/>
      <c r="I5" s="1093"/>
      <c r="J5" s="1093"/>
      <c r="K5" s="1093"/>
    </row>
    <row r="6" spans="1:11" ht="15.5">
      <c r="D6" s="497"/>
      <c r="G6" s="1094"/>
      <c r="H6" s="278"/>
      <c r="I6" s="278"/>
    </row>
    <row r="7" spans="1:11" ht="54" customHeight="1">
      <c r="A7" s="1095"/>
      <c r="B7" s="2045" t="s">
        <v>643</v>
      </c>
      <c r="C7" s="2045"/>
      <c r="D7" s="2045"/>
      <c r="E7" s="2045"/>
      <c r="F7" s="2045"/>
      <c r="G7" s="2045"/>
      <c r="H7" s="1095"/>
      <c r="I7" s="278"/>
    </row>
    <row r="8" spans="1:11" ht="18">
      <c r="A8" s="943"/>
      <c r="B8" s="943"/>
      <c r="C8" s="943"/>
      <c r="D8" s="943"/>
      <c r="E8" s="943"/>
      <c r="F8" s="943"/>
      <c r="G8" s="943"/>
      <c r="H8" s="943"/>
      <c r="I8" s="278"/>
    </row>
    <row r="9" spans="1:11" ht="18">
      <c r="A9" s="943"/>
      <c r="B9" s="943"/>
      <c r="C9" s="943"/>
      <c r="D9" s="943"/>
      <c r="E9" s="943"/>
      <c r="F9" s="943"/>
      <c r="G9" s="943"/>
      <c r="H9" s="943"/>
      <c r="I9" s="278"/>
    </row>
    <row r="10" spans="1:11" ht="18">
      <c r="A10" s="943"/>
      <c r="B10" s="732" t="s">
        <v>307</v>
      </c>
      <c r="D10" s="2044" t="s">
        <v>300</v>
      </c>
      <c r="E10" s="2044"/>
      <c r="G10" s="557" t="s">
        <v>301</v>
      </c>
      <c r="H10" s="943"/>
      <c r="I10" s="278"/>
    </row>
    <row r="11" spans="1:11" ht="18">
      <c r="A11" s="943"/>
      <c r="B11" s="732" t="s">
        <v>245</v>
      </c>
      <c r="D11" s="2043" t="s">
        <v>305</v>
      </c>
      <c r="E11" s="2043"/>
      <c r="G11" s="732">
        <f>+'OKT TCOS'!N2</f>
        <v>2019</v>
      </c>
      <c r="H11" s="943"/>
      <c r="I11" s="278"/>
    </row>
    <row r="12" spans="1:11" ht="15.5">
      <c r="B12" s="1096">
        <v>1</v>
      </c>
      <c r="C12" s="1097"/>
      <c r="H12" s="278"/>
      <c r="I12" s="278"/>
    </row>
    <row r="13" spans="1:11" ht="15.5">
      <c r="B13" s="1096">
        <f t="shared" ref="B13:B20" si="0">B12+1</f>
        <v>2</v>
      </c>
      <c r="D13" s="548"/>
      <c r="E13" s="1098"/>
      <c r="G13" s="1006"/>
      <c r="H13" s="278"/>
      <c r="I13" s="278"/>
    </row>
    <row r="14" spans="1:11" ht="15.5">
      <c r="B14" s="1096">
        <f t="shared" si="0"/>
        <v>3</v>
      </c>
      <c r="D14" s="548"/>
      <c r="E14" s="1098"/>
      <c r="G14" s="1006"/>
      <c r="H14" s="278"/>
      <c r="I14" s="278"/>
    </row>
    <row r="15" spans="1:11" ht="15.5">
      <c r="B15" s="1096">
        <f t="shared" si="0"/>
        <v>4</v>
      </c>
      <c r="D15" s="548"/>
      <c r="E15" s="1098"/>
      <c r="G15" s="1006"/>
      <c r="H15" s="278"/>
      <c r="I15" s="278"/>
    </row>
    <row r="16" spans="1:11" ht="15.5">
      <c r="B16" s="1096">
        <f t="shared" si="0"/>
        <v>5</v>
      </c>
      <c r="D16" s="548"/>
      <c r="E16" s="1098"/>
      <c r="G16" s="1006"/>
      <c r="H16" s="278"/>
      <c r="I16" s="278"/>
    </row>
    <row r="17" spans="2:9" ht="15.5">
      <c r="B17" s="1096">
        <f t="shared" si="0"/>
        <v>6</v>
      </c>
      <c r="D17" s="548"/>
      <c r="E17" s="1098"/>
      <c r="G17" s="1006"/>
      <c r="H17" s="278"/>
      <c r="I17" s="278"/>
    </row>
    <row r="18" spans="2:9" ht="15.5">
      <c r="B18" s="1096">
        <f t="shared" si="0"/>
        <v>7</v>
      </c>
      <c r="D18" s="548"/>
      <c r="E18" s="1098"/>
      <c r="G18" s="1006"/>
      <c r="H18" s="278"/>
      <c r="I18" s="278"/>
    </row>
    <row r="19" spans="2:9" ht="15.5">
      <c r="B19" s="1096">
        <f t="shared" si="0"/>
        <v>8</v>
      </c>
      <c r="D19" s="548"/>
      <c r="E19" s="1098"/>
      <c r="G19" s="1006"/>
      <c r="H19" s="278"/>
      <c r="I19" s="278"/>
    </row>
    <row r="20" spans="2:9" ht="15.5">
      <c r="B20" s="1096">
        <f t="shared" si="0"/>
        <v>9</v>
      </c>
      <c r="D20" s="548"/>
      <c r="E20" s="1098"/>
      <c r="G20" s="1006"/>
      <c r="H20" s="278"/>
      <c r="I20" s="278"/>
    </row>
    <row r="21" spans="2:9" ht="15.5">
      <c r="B21" s="1096">
        <f>+B20+1</f>
        <v>10</v>
      </c>
      <c r="D21" s="1099" t="s">
        <v>257</v>
      </c>
      <c r="F21" s="673" t="str">
        <f>"( sum of lines "&amp;B13&amp;"  through "&amp;B20&amp;" )"</f>
        <v>( sum of lines 2  through 9 )</v>
      </c>
      <c r="G21" s="1100">
        <f>SUM(G13:G20)</f>
        <v>0</v>
      </c>
      <c r="H21" s="278"/>
      <c r="I21" s="278"/>
    </row>
    <row r="22" spans="2:9" ht="15.5">
      <c r="B22" s="1096"/>
      <c r="G22" s="1101"/>
      <c r="H22" s="278"/>
      <c r="I22" s="278"/>
    </row>
    <row r="23" spans="2:9" s="482" customFormat="1" ht="15" customHeight="1"/>
    <row r="24" spans="2:9" s="482" customFormat="1"/>
    <row r="25" spans="2:9" s="482" customFormat="1"/>
    <row r="26" spans="2:9" s="482" customFormat="1" ht="23.25" customHeight="1"/>
    <row r="27" spans="2:9" s="482" customFormat="1"/>
    <row r="28" spans="2:9" s="482" customFormat="1"/>
    <row r="29" spans="2:9" s="482" customFormat="1"/>
    <row r="30" spans="2:9" s="482" customFormat="1"/>
  </sheetData>
  <mergeCells count="7">
    <mergeCell ref="D11:E11"/>
    <mergeCell ref="A2:H2"/>
    <mergeCell ref="A3:H3"/>
    <mergeCell ref="A4:H4"/>
    <mergeCell ref="A5:H5"/>
    <mergeCell ref="D10:E10"/>
    <mergeCell ref="B7:G7"/>
  </mergeCells>
  <phoneticPr fontId="0" type="noConversion"/>
  <printOptions horizontalCentered="1"/>
  <pageMargins left="0.75" right="0.75" top="1" bottom="0.25" header="0.65" footer="0.5"/>
  <pageSetup scale="72" orientation="portrait" horizontalDpi="1200" verticalDpi="1200" r:id="rId1"/>
  <headerFooter alignWithMargins="0">
    <oddHeader xml:space="preserve">&amp;R&amp;12AEP - SPP Transco Formula Rate
TCOS - WS I
Page: &amp;P of &amp;N&amp;16
</oddHeader>
    <oddFooter xml:space="preserve">&amp;C &amp;R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AQ57"/>
  <sheetViews>
    <sheetView zoomScale="80" zoomScaleNormal="80" zoomScaleSheetLayoutView="75" workbookViewId="0">
      <selection activeCell="H42" sqref="H42"/>
    </sheetView>
  </sheetViews>
  <sheetFormatPr defaultColWidth="9.1796875" defaultRowHeight="15.5"/>
  <cols>
    <col min="1" max="1" width="10.453125" style="1105" customWidth="1"/>
    <col min="2" max="2" width="12.7265625" style="1102" customWidth="1"/>
    <col min="3" max="3" width="59.26953125" style="1103" customWidth="1"/>
    <col min="4" max="4" width="17.81640625" style="1103" customWidth="1"/>
    <col min="5" max="5" width="24.453125" style="1103" customWidth="1"/>
    <col min="6" max="6" width="17.26953125" style="1103" customWidth="1"/>
    <col min="7" max="7" width="42" style="1103" customWidth="1"/>
    <col min="8" max="8" width="13.81640625" style="1103" customWidth="1"/>
    <col min="9" max="10" width="12.7265625" style="1103" customWidth="1"/>
    <col min="11" max="11" width="13.26953125" style="1103" customWidth="1"/>
    <col min="12" max="19" width="9.1796875" style="1103"/>
    <col min="20" max="20" width="9.26953125" style="132" bestFit="1" customWidth="1"/>
    <col min="21" max="21" width="8.81640625" style="132" customWidth="1"/>
    <col min="22" max="22" width="9.26953125" style="132" bestFit="1" customWidth="1"/>
    <col min="23" max="23" width="8.81640625" style="132" customWidth="1"/>
    <col min="24" max="24" width="10.81640625" style="132" bestFit="1" customWidth="1"/>
    <col min="25" max="25" width="8.81640625" style="132" customWidth="1"/>
    <col min="26" max="26" width="10.81640625" style="132" bestFit="1" customWidth="1"/>
    <col min="27" max="27" width="8.81640625" style="132" customWidth="1"/>
    <col min="28" max="28" width="10.7265625" style="132" bestFit="1" customWidth="1"/>
    <col min="29" max="29" width="8.81640625" style="132" customWidth="1"/>
    <col min="30" max="30" width="9.26953125" style="132" bestFit="1" customWidth="1"/>
    <col min="31" max="31" width="8.81640625" style="132" customWidth="1"/>
    <col min="32" max="32" width="11.54296875" style="132" bestFit="1" customWidth="1"/>
    <col min="33" max="33" width="8.81640625" style="132" customWidth="1"/>
    <col min="34" max="34" width="11.54296875" style="132" bestFit="1" customWidth="1"/>
    <col min="35" max="35" width="8.81640625" style="132" customWidth="1"/>
    <col min="36" max="36" width="11" style="132" bestFit="1" customWidth="1"/>
    <col min="37" max="37" width="8.81640625" style="132" customWidth="1"/>
    <col min="38" max="38" width="9.26953125" style="132" bestFit="1" customWidth="1"/>
    <col min="39" max="39" width="8.81640625" style="132" customWidth="1"/>
    <col min="40" max="40" width="11.54296875" style="132" bestFit="1" customWidth="1"/>
    <col min="41" max="43" width="8.81640625" style="132" customWidth="1"/>
    <col min="44" max="16384" width="9.1796875" style="1103"/>
  </cols>
  <sheetData>
    <row r="1" spans="1:11">
      <c r="A1" s="502"/>
    </row>
    <row r="2" spans="1:11" ht="23.25" customHeight="1">
      <c r="A2" s="2047" t="str">
        <f>+'OKT WS H Rev Credits'!A3:N3</f>
        <v xml:space="preserve">AEP West SPP Member Transmission Companies </v>
      </c>
      <c r="B2" s="2047"/>
      <c r="C2" s="2047"/>
      <c r="D2" s="2047"/>
      <c r="E2" s="2047"/>
      <c r="F2" s="2047"/>
      <c r="G2" s="2047"/>
      <c r="H2" s="670"/>
    </row>
    <row r="3" spans="1:11" ht="18.75" customHeight="1">
      <c r="A3" s="2047" t="str">
        <f>+'OKT WS A-1 - Plant'!A3</f>
        <v xml:space="preserve">Actual / Projected 2019 Rate Year Cost of Service Formula Rate </v>
      </c>
      <c r="B3" s="2047"/>
      <c r="C3" s="2047"/>
      <c r="D3" s="2047"/>
      <c r="E3" s="2047"/>
      <c r="F3" s="2047"/>
      <c r="G3" s="2047"/>
      <c r="H3" s="672"/>
      <c r="I3" s="672"/>
      <c r="J3" s="672"/>
      <c r="K3" s="672"/>
    </row>
    <row r="4" spans="1:11" ht="19.5" customHeight="1">
      <c r="A4" s="2048" t="s">
        <v>114</v>
      </c>
      <c r="B4" s="2047"/>
      <c r="C4" s="2047"/>
      <c r="D4" s="2047"/>
      <c r="E4" s="2047"/>
      <c r="F4" s="2047"/>
      <c r="G4" s="2047"/>
    </row>
    <row r="5" spans="1:11" ht="18" customHeight="1">
      <c r="A5" s="2025" t="str">
        <f>+'OKT TCOS'!F8</f>
        <v>AEP OKLAHOMA TRANSMISSION COMPANY, INC.</v>
      </c>
      <c r="B5" s="2025"/>
      <c r="C5" s="2025"/>
      <c r="D5" s="2025"/>
      <c r="E5" s="2025"/>
      <c r="F5" s="2025"/>
      <c r="G5" s="2025"/>
    </row>
    <row r="6" spans="1:11" ht="12.75" customHeight="1">
      <c r="A6" s="1996"/>
      <c r="B6" s="1996"/>
      <c r="C6" s="1996"/>
      <c r="D6" s="1996"/>
      <c r="E6" s="1996"/>
      <c r="F6" s="1996"/>
      <c r="G6" s="1104"/>
    </row>
    <row r="7" spans="1:11" ht="18">
      <c r="A7" s="2003"/>
      <c r="B7" s="2003"/>
      <c r="C7" s="2003"/>
      <c r="D7" s="2003"/>
      <c r="E7" s="2003"/>
      <c r="F7" s="2003"/>
      <c r="G7" s="2003"/>
    </row>
    <row r="8" spans="1:11" ht="18">
      <c r="A8" s="943"/>
      <c r="B8" s="943"/>
      <c r="C8" s="943"/>
      <c r="D8" s="943"/>
      <c r="E8" s="943"/>
      <c r="F8" s="943"/>
      <c r="G8" s="943"/>
    </row>
    <row r="9" spans="1:11">
      <c r="B9" s="538" t="s">
        <v>300</v>
      </c>
      <c r="C9" s="538" t="s">
        <v>301</v>
      </c>
      <c r="D9" s="538" t="s">
        <v>302</v>
      </c>
      <c r="E9" s="538" t="s">
        <v>303</v>
      </c>
      <c r="F9" s="538" t="s">
        <v>228</v>
      </c>
      <c r="G9" s="538" t="s">
        <v>229</v>
      </c>
    </row>
    <row r="10" spans="1:11">
      <c r="B10" s="1106"/>
      <c r="C10" s="1104"/>
      <c r="D10" s="1107"/>
      <c r="E10" s="1108"/>
      <c r="F10" s="1109" t="s">
        <v>231</v>
      </c>
      <c r="G10" s="538"/>
    </row>
    <row r="11" spans="1:11">
      <c r="A11" s="517" t="s">
        <v>307</v>
      </c>
      <c r="B11" s="517" t="s">
        <v>149</v>
      </c>
      <c r="C11" s="1110"/>
      <c r="D11" s="517">
        <f>+'OKT TCOS'!N2</f>
        <v>2019</v>
      </c>
      <c r="E11" s="1109" t="s">
        <v>231</v>
      </c>
      <c r="F11" s="517" t="s">
        <v>254</v>
      </c>
      <c r="G11" s="538" t="s">
        <v>422</v>
      </c>
    </row>
    <row r="12" spans="1:11">
      <c r="A12" s="517" t="s">
        <v>245</v>
      </c>
      <c r="B12" s="517" t="s">
        <v>150</v>
      </c>
      <c r="C12" s="517" t="s">
        <v>305</v>
      </c>
      <c r="D12" s="517" t="s">
        <v>214</v>
      </c>
      <c r="E12" s="517" t="s">
        <v>233</v>
      </c>
      <c r="F12" s="517" t="s">
        <v>215</v>
      </c>
      <c r="G12" s="1111" t="s">
        <v>423</v>
      </c>
    </row>
    <row r="13" spans="1:11">
      <c r="B13" s="517"/>
      <c r="C13" s="517"/>
      <c r="D13" s="517"/>
      <c r="E13" s="517"/>
      <c r="F13" s="517"/>
      <c r="G13" s="517"/>
    </row>
    <row r="14" spans="1:11">
      <c r="B14" s="1105"/>
      <c r="C14" s="1112" t="s">
        <v>350</v>
      </c>
      <c r="D14" s="1104"/>
      <c r="E14" s="1104"/>
      <c r="F14" s="1104"/>
      <c r="G14" s="1104"/>
    </row>
    <row r="15" spans="1:11">
      <c r="A15" s="1113">
        <v>1</v>
      </c>
      <c r="B15" s="1114" t="s">
        <v>997</v>
      </c>
      <c r="C15" s="1115" t="s">
        <v>993</v>
      </c>
      <c r="D15" s="1116">
        <v>178.18</v>
      </c>
      <c r="E15" s="1116"/>
      <c r="F15" s="1116">
        <f>+D15</f>
        <v>178.18</v>
      </c>
      <c r="G15" s="1117"/>
      <c r="I15" s="1118"/>
      <c r="J15" s="1118"/>
    </row>
    <row r="16" spans="1:11">
      <c r="A16" s="1113">
        <f t="shared" ref="A16:A29" si="0">+A15+1</f>
        <v>2</v>
      </c>
      <c r="B16" s="1114" t="s">
        <v>998</v>
      </c>
      <c r="C16" s="1115" t="s">
        <v>994</v>
      </c>
      <c r="D16" s="1116">
        <v>292.73</v>
      </c>
      <c r="E16" s="1116"/>
      <c r="F16" s="1116">
        <f>+D16</f>
        <v>292.73</v>
      </c>
      <c r="G16" s="1117"/>
      <c r="I16" s="1118"/>
      <c r="J16" s="1118"/>
    </row>
    <row r="17" spans="1:7">
      <c r="A17" s="1113">
        <f t="shared" si="0"/>
        <v>3</v>
      </c>
      <c r="B17" s="1114" t="s">
        <v>999</v>
      </c>
      <c r="C17" s="1115" t="s">
        <v>995</v>
      </c>
      <c r="D17" s="1116">
        <v>-1121.9100000000001</v>
      </c>
      <c r="E17" s="1116"/>
      <c r="F17" s="1116">
        <f>+D17</f>
        <v>-1121.9100000000001</v>
      </c>
      <c r="G17" s="1117"/>
    </row>
    <row r="18" spans="1:7">
      <c r="A18" s="1113">
        <f t="shared" si="0"/>
        <v>4</v>
      </c>
      <c r="B18" s="1114" t="s">
        <v>1000</v>
      </c>
      <c r="C18" s="1115" t="s">
        <v>996</v>
      </c>
      <c r="D18" s="1116">
        <v>48436.23</v>
      </c>
      <c r="E18" s="1116"/>
      <c r="F18" s="1116">
        <f>+D18</f>
        <v>48436.23</v>
      </c>
      <c r="G18" s="1117"/>
    </row>
    <row r="19" spans="1:7">
      <c r="A19" s="1113">
        <f t="shared" si="0"/>
        <v>5</v>
      </c>
      <c r="B19" s="1119"/>
      <c r="C19" s="1120"/>
      <c r="D19" s="1116"/>
      <c r="E19" s="1116"/>
      <c r="F19" s="1116"/>
      <c r="G19" s="1117"/>
    </row>
    <row r="20" spans="1:7">
      <c r="A20" s="1113">
        <f t="shared" si="0"/>
        <v>6</v>
      </c>
      <c r="B20" s="1119"/>
      <c r="C20" s="1120"/>
      <c r="D20" s="1116"/>
      <c r="E20" s="1116"/>
      <c r="F20" s="1116"/>
      <c r="G20" s="1117"/>
    </row>
    <row r="21" spans="1:7">
      <c r="A21" s="1113">
        <f t="shared" si="0"/>
        <v>7</v>
      </c>
      <c r="B21" s="1119"/>
      <c r="C21" s="1120"/>
      <c r="D21" s="1116"/>
      <c r="E21" s="1116"/>
      <c r="F21" s="1116"/>
      <c r="G21" s="1117"/>
    </row>
    <row r="22" spans="1:7">
      <c r="A22" s="1113">
        <f t="shared" si="0"/>
        <v>8</v>
      </c>
      <c r="B22" s="1119"/>
      <c r="C22" s="1120"/>
      <c r="D22" s="1116"/>
      <c r="E22" s="1116"/>
      <c r="F22" s="1116"/>
      <c r="G22" s="1117"/>
    </row>
    <row r="23" spans="1:7">
      <c r="A23" s="1113">
        <f t="shared" si="0"/>
        <v>9</v>
      </c>
      <c r="B23" s="1119"/>
      <c r="C23" s="1120"/>
      <c r="D23" s="1116"/>
      <c r="E23" s="1116"/>
      <c r="F23" s="1116"/>
      <c r="G23" s="1117"/>
    </row>
    <row r="24" spans="1:7">
      <c r="A24" s="1113">
        <f t="shared" si="0"/>
        <v>10</v>
      </c>
      <c r="B24" s="1119"/>
      <c r="C24" s="1120"/>
      <c r="D24" s="1121"/>
      <c r="E24" s="1116"/>
      <c r="F24" s="1116"/>
      <c r="G24" s="1117"/>
    </row>
    <row r="25" spans="1:7">
      <c r="A25" s="1113">
        <f t="shared" si="0"/>
        <v>11</v>
      </c>
      <c r="B25" s="1122"/>
      <c r="C25" s="1123"/>
      <c r="D25" s="1124"/>
      <c r="E25" s="1124"/>
      <c r="F25" s="1125"/>
      <c r="G25" s="1126"/>
    </row>
    <row r="26" spans="1:7">
      <c r="A26" s="1113">
        <f t="shared" si="0"/>
        <v>12</v>
      </c>
      <c r="B26" s="1122"/>
      <c r="C26" s="1123"/>
      <c r="D26" s="1124"/>
      <c r="E26" s="1124"/>
      <c r="F26" s="1125"/>
      <c r="G26" s="1126"/>
    </row>
    <row r="27" spans="1:7">
      <c r="A27" s="1113">
        <f t="shared" si="0"/>
        <v>13</v>
      </c>
      <c r="B27" s="1122"/>
      <c r="C27" s="1123"/>
      <c r="D27" s="1124"/>
      <c r="E27" s="1124"/>
      <c r="F27" s="1125"/>
      <c r="G27" s="1126"/>
    </row>
    <row r="28" spans="1:7">
      <c r="A28" s="1113">
        <f t="shared" si="0"/>
        <v>14</v>
      </c>
      <c r="B28" s="1122"/>
      <c r="C28" s="1123"/>
      <c r="D28" s="1124"/>
      <c r="E28" s="1124"/>
      <c r="F28" s="1125"/>
      <c r="G28" s="1126"/>
    </row>
    <row r="29" spans="1:7">
      <c r="A29" s="1113">
        <f t="shared" si="0"/>
        <v>15</v>
      </c>
      <c r="B29" s="1122"/>
      <c r="C29" s="1123"/>
      <c r="D29" s="1124"/>
      <c r="E29" s="1124"/>
      <c r="F29" s="1125"/>
      <c r="G29" s="1126"/>
    </row>
    <row r="30" spans="1:7">
      <c r="B30" s="1127"/>
      <c r="C30" s="1128"/>
      <c r="D30" s="1129"/>
      <c r="E30" s="1130"/>
      <c r="F30" s="1131"/>
      <c r="G30" s="1104"/>
    </row>
    <row r="31" spans="1:7">
      <c r="A31" s="1105">
        <f>+A29+1</f>
        <v>16</v>
      </c>
      <c r="B31" s="1132"/>
      <c r="C31" s="1133" t="s">
        <v>602</v>
      </c>
      <c r="D31" s="1134">
        <f>SUM(D15:D29)</f>
        <v>47785.23</v>
      </c>
      <c r="E31" s="1134">
        <f>SUM(E15:E29)</f>
        <v>0</v>
      </c>
      <c r="F31" s="1134">
        <f>SUM(F15:F29)</f>
        <v>47785.23</v>
      </c>
      <c r="G31" s="1135"/>
    </row>
    <row r="32" spans="1:7">
      <c r="B32" s="1132"/>
      <c r="C32" s="1136"/>
      <c r="D32" s="1137"/>
      <c r="E32" s="1104"/>
      <c r="F32" s="1104"/>
      <c r="G32" s="1104"/>
    </row>
    <row r="33" spans="1:19">
      <c r="B33" s="1138"/>
      <c r="C33" s="1112" t="s">
        <v>349</v>
      </c>
      <c r="D33" s="1104"/>
      <c r="E33" s="1104"/>
      <c r="F33" s="1104"/>
      <c r="G33" s="1104"/>
      <c r="H33" s="132"/>
    </row>
    <row r="34" spans="1:19">
      <c r="A34" s="1105">
        <f>A31+1</f>
        <v>17</v>
      </c>
      <c r="B34" s="1114">
        <v>9301000</v>
      </c>
      <c r="C34" s="1115" t="s">
        <v>1002</v>
      </c>
      <c r="D34" s="1124">
        <v>718.81</v>
      </c>
      <c r="E34" s="1124"/>
      <c r="F34" s="1124">
        <f>+D34</f>
        <v>718.81</v>
      </c>
      <c r="G34" s="1125"/>
      <c r="H34" s="132"/>
    </row>
    <row r="35" spans="1:19">
      <c r="A35" s="1105">
        <f>+A34+1</f>
        <v>18</v>
      </c>
      <c r="B35" s="1122"/>
      <c r="C35" s="1139"/>
      <c r="D35" s="1124"/>
      <c r="E35" s="1124"/>
      <c r="F35" s="1124"/>
      <c r="G35" s="1125"/>
      <c r="H35" s="132"/>
    </row>
    <row r="36" spans="1:19">
      <c r="A36" s="1105">
        <f>+A35+1</f>
        <v>19</v>
      </c>
      <c r="B36" s="1122"/>
      <c r="C36" s="1139"/>
      <c r="D36" s="1124"/>
      <c r="E36" s="1124"/>
      <c r="F36" s="1124"/>
      <c r="G36" s="1125"/>
      <c r="H36" s="132"/>
      <c r="M36" s="1140"/>
      <c r="N36" s="1140"/>
      <c r="O36" s="1141"/>
      <c r="P36" s="1141"/>
      <c r="Q36" s="1141"/>
      <c r="R36" s="1141"/>
      <c r="S36" s="1141"/>
    </row>
    <row r="37" spans="1:19">
      <c r="A37" s="1105">
        <f>+A36+1</f>
        <v>20</v>
      </c>
      <c r="B37" s="1122"/>
      <c r="C37" s="1139"/>
      <c r="D37" s="1124"/>
      <c r="E37" s="1124"/>
      <c r="F37" s="1124"/>
      <c r="G37" s="1125"/>
      <c r="H37" s="132"/>
      <c r="M37" s="1140"/>
      <c r="N37" s="1140"/>
      <c r="O37" s="1141"/>
      <c r="P37" s="1141"/>
      <c r="Q37" s="1141"/>
      <c r="R37" s="1141"/>
      <c r="S37" s="1141"/>
    </row>
    <row r="38" spans="1:19">
      <c r="A38" s="1105">
        <f>+A37+1</f>
        <v>21</v>
      </c>
      <c r="B38" s="1122"/>
      <c r="C38" s="1139"/>
      <c r="D38" s="1124"/>
      <c r="E38" s="1124"/>
      <c r="F38" s="1124"/>
      <c r="G38" s="1125"/>
      <c r="H38" s="132"/>
      <c r="M38" s="1140"/>
      <c r="N38" s="1140"/>
      <c r="O38" s="1141"/>
      <c r="P38" s="1141"/>
      <c r="Q38" s="1141"/>
      <c r="R38" s="1141"/>
      <c r="S38" s="1141"/>
    </row>
    <row r="39" spans="1:19">
      <c r="B39" s="465"/>
      <c r="C39" s="573"/>
      <c r="D39" s="1142"/>
      <c r="E39" s="1142"/>
      <c r="F39" s="1142"/>
      <c r="G39" s="1142"/>
      <c r="H39" s="132"/>
    </row>
    <row r="40" spans="1:19">
      <c r="B40" s="1127"/>
      <c r="C40" s="1104"/>
      <c r="D40" s="1143"/>
      <c r="E40" s="1144"/>
      <c r="F40" s="1143"/>
      <c r="G40" s="1104"/>
      <c r="H40" s="132"/>
    </row>
    <row r="41" spans="1:19">
      <c r="A41" s="1105">
        <f>+A38+1</f>
        <v>22</v>
      </c>
      <c r="B41" s="1132"/>
      <c r="C41" s="1145" t="s">
        <v>603</v>
      </c>
      <c r="D41" s="1146">
        <f>SUM(D34:D40)</f>
        <v>718.81</v>
      </c>
      <c r="E41" s="1146">
        <f>SUM(E34:E40)</f>
        <v>0</v>
      </c>
      <c r="F41" s="1146">
        <f>SUM(F34:F40)</f>
        <v>718.81</v>
      </c>
      <c r="G41" s="1147"/>
    </row>
    <row r="42" spans="1:19" ht="12.75" customHeight="1">
      <c r="B42" s="283"/>
      <c r="C42" s="407"/>
      <c r="D42" s="1148"/>
      <c r="E42" s="1148"/>
      <c r="F42" s="1148"/>
      <c r="G42" s="407"/>
    </row>
    <row r="43" spans="1:19">
      <c r="B43" s="1149"/>
      <c r="C43" s="1112" t="s">
        <v>348</v>
      </c>
      <c r="D43" s="1150"/>
      <c r="E43" s="1150"/>
      <c r="F43" s="1150"/>
      <c r="G43" s="538"/>
    </row>
    <row r="44" spans="1:19">
      <c r="A44" s="1105">
        <f>+A41+1</f>
        <v>23</v>
      </c>
      <c r="B44" s="1151" t="s">
        <v>1003</v>
      </c>
      <c r="C44" s="1115" t="s">
        <v>1025</v>
      </c>
      <c r="D44" s="1124">
        <v>76355.225999999995</v>
      </c>
      <c r="E44" s="1124"/>
      <c r="F44" s="1124">
        <f>+D44</f>
        <v>76355.225999999995</v>
      </c>
      <c r="G44" s="1125"/>
      <c r="H44" s="132"/>
      <c r="I44" s="132"/>
    </row>
    <row r="45" spans="1:19">
      <c r="A45" s="1105">
        <f>+A44+1</f>
        <v>24</v>
      </c>
      <c r="B45" s="1152"/>
      <c r="C45" s="1139"/>
      <c r="D45" s="1124"/>
      <c r="E45" s="1124"/>
      <c r="F45" s="1124"/>
      <c r="G45" s="1125"/>
      <c r="H45" s="132"/>
      <c r="I45" s="132"/>
    </row>
    <row r="46" spans="1:19">
      <c r="A46" s="1105">
        <f>+A45+1</f>
        <v>25</v>
      </c>
      <c r="B46" s="1152"/>
      <c r="C46" s="1139"/>
      <c r="D46" s="1124"/>
      <c r="E46" s="1124"/>
      <c r="F46" s="1124"/>
      <c r="G46" s="1125"/>
      <c r="H46" s="132"/>
      <c r="I46" s="132"/>
    </row>
    <row r="47" spans="1:19">
      <c r="A47" s="1105">
        <f>+A46+1</f>
        <v>26</v>
      </c>
      <c r="B47" s="1152"/>
      <c r="C47" s="1139"/>
      <c r="D47" s="1124"/>
      <c r="E47" s="1124"/>
      <c r="F47" s="1124"/>
      <c r="G47" s="1125"/>
      <c r="H47" s="132"/>
      <c r="I47" s="132"/>
      <c r="J47" s="1141"/>
      <c r="K47" s="1141"/>
    </row>
    <row r="48" spans="1:19">
      <c r="A48" s="1105">
        <f>+A47+1</f>
        <v>27</v>
      </c>
      <c r="B48" s="1152"/>
      <c r="C48" s="1139"/>
      <c r="D48" s="1124"/>
      <c r="E48" s="1124"/>
      <c r="F48" s="1124"/>
      <c r="G48" s="1125"/>
      <c r="H48" s="132"/>
      <c r="I48" s="132"/>
    </row>
    <row r="49" spans="1:10">
      <c r="B49" s="407"/>
      <c r="C49" s="407"/>
      <c r="D49" s="407"/>
      <c r="E49" s="407"/>
      <c r="F49" s="407"/>
      <c r="G49" s="407"/>
    </row>
    <row r="50" spans="1:10">
      <c r="A50" s="1105">
        <f>+A48+1</f>
        <v>28</v>
      </c>
      <c r="B50" s="407"/>
      <c r="C50" s="1145" t="s">
        <v>604</v>
      </c>
      <c r="D50" s="1134">
        <f>SUM(D44:D49)</f>
        <v>76355.225999999995</v>
      </c>
      <c r="E50" s="1153">
        <f>SUM(E44:E49)</f>
        <v>0</v>
      </c>
      <c r="F50" s="1153">
        <f>SUM(F44:F49)</f>
        <v>76355.225999999995</v>
      </c>
      <c r="G50" s="1147"/>
      <c r="J50" s="1154"/>
    </row>
    <row r="51" spans="1:10">
      <c r="B51" s="497"/>
      <c r="C51" s="497"/>
      <c r="D51" s="1155"/>
      <c r="E51" s="497"/>
      <c r="F51" s="497"/>
      <c r="G51" s="497"/>
    </row>
    <row r="53" spans="1:10" ht="47.25" customHeight="1">
      <c r="B53" s="2046"/>
      <c r="C53" s="2046"/>
      <c r="D53" s="2046"/>
      <c r="E53" s="2046"/>
      <c r="F53" s="2046"/>
      <c r="G53" s="2046"/>
    </row>
    <row r="54" spans="1:10">
      <c r="D54" s="1156"/>
    </row>
    <row r="57" spans="1:10">
      <c r="D57" s="1157"/>
    </row>
  </sheetData>
  <mergeCells count="7">
    <mergeCell ref="B53:G53"/>
    <mergeCell ref="A2:G2"/>
    <mergeCell ref="A7:G7"/>
    <mergeCell ref="A6:F6"/>
    <mergeCell ref="A3:G3"/>
    <mergeCell ref="A4:G4"/>
    <mergeCell ref="A5:G5"/>
  </mergeCells>
  <phoneticPr fontId="0" type="noConversion"/>
  <conditionalFormatting sqref="H41 K15:K16 H50:I50 H31:I31 H15:H29">
    <cfRule type="cellIs" dxfId="5" priority="4" stopIfTrue="1" operator="equal">
      <formula>FALSE</formula>
    </cfRule>
  </conditionalFormatting>
  <printOptions horizontalCentered="1"/>
  <pageMargins left="0.75" right="0.75" top="1" bottom="0.25" header="0.65" footer="0.5"/>
  <pageSetup scale="48" orientation="portrait" horizontalDpi="1200" verticalDpi="1200" r:id="rId1"/>
  <headerFooter alignWithMargins="0">
    <oddHeader xml:space="preserve">&amp;R&amp;12AEP - SPP Transco Formula Rate
 TCOS - WS J
Page: &amp;P of &amp;N&amp;16
</oddHead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L53"/>
  <sheetViews>
    <sheetView zoomScale="81" zoomScaleNormal="81" zoomScaleSheetLayoutView="75" workbookViewId="0">
      <selection activeCell="G12" sqref="G12"/>
    </sheetView>
  </sheetViews>
  <sheetFormatPr defaultColWidth="8.81640625" defaultRowHeight="12.5"/>
  <cols>
    <col min="1" max="1" width="9.26953125" style="497" bestFit="1" customWidth="1"/>
    <col min="2" max="2" width="32.54296875" style="497" customWidth="1"/>
    <col min="3" max="4" width="8.81640625" style="497"/>
    <col min="5" max="5" width="15" style="497" customWidth="1"/>
    <col min="6" max="6" width="11" style="497" bestFit="1" customWidth="1"/>
    <col min="7" max="7" width="10.81640625" style="497" customWidth="1"/>
    <col min="8" max="8" width="5" style="497" customWidth="1"/>
    <col min="9" max="9" width="21" style="497" bestFit="1" customWidth="1"/>
    <col min="10" max="10" width="2.1796875" style="497" customWidth="1"/>
    <col min="11" max="11" width="15.54296875" style="497" bestFit="1" customWidth="1"/>
    <col min="12" max="12" width="4.81640625" style="497" customWidth="1"/>
    <col min="13" max="16384" width="8.81640625" style="497"/>
  </cols>
  <sheetData>
    <row r="1" spans="1:12" ht="15.5">
      <c r="A1" s="551"/>
    </row>
    <row r="2" spans="1:12" ht="17.5">
      <c r="A2" s="1996" t="str">
        <f>+'OKT TCOS'!F4</f>
        <v xml:space="preserve">AEP West SPP Member Transmission Companies </v>
      </c>
      <c r="B2" s="1996"/>
      <c r="C2" s="1996"/>
      <c r="D2" s="1996"/>
      <c r="E2" s="1996"/>
      <c r="F2" s="1996"/>
      <c r="G2" s="1996"/>
      <c r="H2" s="1996"/>
      <c r="I2" s="1158"/>
      <c r="J2" s="1158"/>
    </row>
    <row r="3" spans="1:12" ht="17.5">
      <c r="A3" s="1990" t="str">
        <f>+'OKT WS A-1 - Plant'!A3</f>
        <v xml:space="preserve">Actual / Projected 2019 Rate Year Cost of Service Formula Rate </v>
      </c>
      <c r="B3" s="1990"/>
      <c r="C3" s="1990"/>
      <c r="D3" s="1990"/>
      <c r="E3" s="1990"/>
      <c r="F3" s="1990"/>
      <c r="G3" s="1990"/>
      <c r="H3" s="1990"/>
      <c r="I3" s="1158"/>
      <c r="J3" s="1158"/>
    </row>
    <row r="4" spans="1:12" ht="17.5">
      <c r="A4" s="1991" t="s">
        <v>115</v>
      </c>
      <c r="B4" s="1990"/>
      <c r="C4" s="1990"/>
      <c r="D4" s="1990"/>
      <c r="E4" s="1990"/>
      <c r="F4" s="1990"/>
      <c r="G4" s="1990"/>
      <c r="H4" s="1990"/>
      <c r="I4" s="1158"/>
      <c r="J4" s="1158"/>
    </row>
    <row r="5" spans="1:12" ht="17.5">
      <c r="A5" s="2025" t="str">
        <f>+'OKT TCOS'!F8</f>
        <v>AEP OKLAHOMA TRANSMISSION COMPANY, INC.</v>
      </c>
      <c r="B5" s="2025"/>
      <c r="C5" s="2025"/>
      <c r="D5" s="2025"/>
      <c r="E5" s="2025"/>
      <c r="F5" s="2025"/>
      <c r="G5" s="2025"/>
      <c r="I5" s="1158"/>
      <c r="J5" s="1158"/>
    </row>
    <row r="7" spans="1:12" ht="21.75" customHeight="1">
      <c r="A7" s="1159" t="s">
        <v>309</v>
      </c>
      <c r="B7" s="741" t="str">
        <f>"DEVELOPMENT OF COMPOSITE STATE INCOME TAX  RATES FOR "&amp;'OKT TCOS'!$N$2&amp;""</f>
        <v>DEVELOPMENT OF COMPOSITE STATE INCOME TAX  RATES FOR 2019</v>
      </c>
      <c r="C7" s="741"/>
      <c r="D7" s="741"/>
      <c r="E7" s="741"/>
      <c r="F7" s="741"/>
      <c r="G7" s="741"/>
      <c r="H7" s="741"/>
      <c r="I7" s="741"/>
      <c r="J7" s="741"/>
    </row>
    <row r="8" spans="1:12" ht="12.75" customHeight="1">
      <c r="A8" s="741"/>
    </row>
    <row r="9" spans="1:12" ht="18">
      <c r="A9" s="1160"/>
      <c r="B9" s="1161" t="s">
        <v>128</v>
      </c>
      <c r="C9" s="1161"/>
      <c r="D9" s="1162" t="s">
        <v>129</v>
      </c>
      <c r="E9" s="1163">
        <v>5.6599999999999998E-2</v>
      </c>
      <c r="F9" s="407"/>
      <c r="G9" s="1164"/>
      <c r="H9" s="1164"/>
      <c r="L9" s="550"/>
    </row>
    <row r="10" spans="1:12" ht="15.5">
      <c r="A10" s="550"/>
      <c r="B10" s="278" t="s">
        <v>339</v>
      </c>
      <c r="C10" s="1165"/>
      <c r="D10" s="1165"/>
      <c r="E10" s="1163">
        <v>1</v>
      </c>
      <c r="F10" s="407"/>
      <c r="G10" s="1164"/>
      <c r="H10" s="1164"/>
      <c r="L10" s="550"/>
    </row>
    <row r="11" spans="1:12" ht="15.5">
      <c r="A11" s="550"/>
      <c r="B11" s="278" t="s">
        <v>36</v>
      </c>
      <c r="C11" s="1165"/>
      <c r="D11" s="1165"/>
      <c r="E11" s="407"/>
      <c r="F11" s="1166">
        <f>ROUND(E9*E10,6)</f>
        <v>5.6599999999999998E-2</v>
      </c>
      <c r="G11" s="1164"/>
      <c r="L11" s="550"/>
    </row>
    <row r="12" spans="1:12" ht="15.5">
      <c r="A12" s="550"/>
      <c r="B12" s="278"/>
      <c r="C12" s="1165"/>
      <c r="D12" s="1165"/>
      <c r="E12" s="1165"/>
      <c r="F12" s="1167"/>
      <c r="G12" s="1164"/>
      <c r="L12" s="550"/>
    </row>
    <row r="13" spans="1:12" ht="15.5">
      <c r="A13" s="550"/>
      <c r="B13" s="1161" t="s">
        <v>666</v>
      </c>
      <c r="C13" s="1161"/>
      <c r="D13" s="1165"/>
      <c r="E13" s="1163"/>
      <c r="F13" s="1166"/>
      <c r="G13" s="1164"/>
      <c r="L13" s="550"/>
    </row>
    <row r="14" spans="1:12" ht="15.5">
      <c r="A14" s="550"/>
      <c r="B14" s="278" t="s">
        <v>339</v>
      </c>
      <c r="C14" s="1165"/>
      <c r="D14" s="1165"/>
      <c r="E14" s="1163"/>
      <c r="F14" s="1166"/>
      <c r="G14" s="1164"/>
      <c r="L14" s="550"/>
    </row>
    <row r="15" spans="1:12" ht="15.5">
      <c r="A15" s="550"/>
      <c r="B15" s="278" t="s">
        <v>36</v>
      </c>
      <c r="C15" s="1165"/>
      <c r="D15" s="1165"/>
      <c r="E15" s="407"/>
      <c r="F15" s="1166">
        <f>ROUND(E13*E14,6)</f>
        <v>0</v>
      </c>
      <c r="G15" s="1164"/>
      <c r="L15" s="550"/>
    </row>
    <row r="16" spans="1:12" ht="15.5">
      <c r="A16" s="550"/>
      <c r="B16" s="278"/>
      <c r="C16" s="1165"/>
      <c r="D16" s="1165"/>
      <c r="E16" s="1165"/>
      <c r="F16" s="1166"/>
      <c r="G16" s="1164"/>
      <c r="L16" s="550"/>
    </row>
    <row r="17" spans="1:12" ht="15.5">
      <c r="A17" s="550"/>
      <c r="B17" s="1161" t="s">
        <v>667</v>
      </c>
      <c r="C17" s="1161"/>
      <c r="D17" s="1168"/>
      <c r="E17" s="1163"/>
      <c r="F17" s="1169"/>
      <c r="G17" s="1164"/>
      <c r="L17" s="550"/>
    </row>
    <row r="18" spans="1:12" ht="15.5">
      <c r="A18" s="550"/>
      <c r="B18" s="278" t="s">
        <v>339</v>
      </c>
      <c r="C18" s="1165"/>
      <c r="D18" s="1168"/>
      <c r="E18" s="1163"/>
      <c r="F18" s="1169"/>
      <c r="G18" s="1164"/>
      <c r="L18" s="550"/>
    </row>
    <row r="19" spans="1:12" ht="15.5">
      <c r="A19" s="550"/>
      <c r="B19" s="278" t="s">
        <v>36</v>
      </c>
      <c r="C19" s="1165"/>
      <c r="D19" s="1168"/>
      <c r="E19" s="407"/>
      <c r="F19" s="1166">
        <f>ROUND(E17*E18,6)</f>
        <v>0</v>
      </c>
      <c r="G19" s="1164"/>
      <c r="L19" s="550"/>
    </row>
    <row r="20" spans="1:12" ht="15.5">
      <c r="A20" s="550"/>
      <c r="B20" s="278"/>
      <c r="C20" s="1165"/>
      <c r="D20" s="1168"/>
      <c r="E20" s="1165"/>
      <c r="F20" s="1166"/>
      <c r="G20" s="1164"/>
      <c r="L20" s="550"/>
    </row>
    <row r="21" spans="1:12" ht="15.5">
      <c r="A21" s="550"/>
      <c r="B21" s="1161" t="s">
        <v>667</v>
      </c>
      <c r="C21" s="1161"/>
      <c r="D21" s="1168"/>
      <c r="E21" s="1163"/>
      <c r="F21" s="1166"/>
      <c r="G21" s="1164"/>
      <c r="L21" s="550"/>
    </row>
    <row r="22" spans="1:12" ht="15.5">
      <c r="A22" s="550"/>
      <c r="B22" s="278" t="s">
        <v>339</v>
      </c>
      <c r="C22" s="1168"/>
      <c r="D22" s="1168"/>
      <c r="E22" s="1163"/>
      <c r="F22" s="1166"/>
      <c r="G22" s="1164"/>
      <c r="L22" s="550"/>
    </row>
    <row r="23" spans="1:12" ht="15.5">
      <c r="A23" s="550"/>
      <c r="B23" s="278" t="s">
        <v>36</v>
      </c>
      <c r="C23" s="1168"/>
      <c r="D23" s="1168"/>
      <c r="E23" s="1170"/>
      <c r="F23" s="1166">
        <f>ROUND(E21*E22,6)</f>
        <v>0</v>
      </c>
      <c r="G23" s="1164"/>
      <c r="L23" s="550"/>
    </row>
    <row r="24" spans="1:12" ht="15.5">
      <c r="A24" s="550"/>
      <c r="B24" s="278"/>
      <c r="C24" s="1165"/>
      <c r="D24" s="1165"/>
      <c r="E24" s="407"/>
      <c r="F24" s="1166"/>
      <c r="G24" s="1164"/>
      <c r="L24" s="550"/>
    </row>
    <row r="25" spans="1:12" ht="15.5">
      <c r="A25" s="550"/>
      <c r="B25" s="1161" t="s">
        <v>428</v>
      </c>
      <c r="C25" s="1161"/>
      <c r="D25" s="1168"/>
      <c r="E25" s="1163"/>
      <c r="F25" s="1166"/>
      <c r="G25" s="1164"/>
      <c r="L25" s="550"/>
    </row>
    <row r="26" spans="1:12" ht="15.5">
      <c r="A26" s="550"/>
      <c r="B26" s="278" t="s">
        <v>339</v>
      </c>
      <c r="C26" s="1168"/>
      <c r="D26" s="1168"/>
      <c r="E26" s="1163"/>
      <c r="F26" s="1166"/>
      <c r="G26" s="1164"/>
      <c r="L26" s="550"/>
    </row>
    <row r="27" spans="1:12" ht="15.5">
      <c r="A27" s="550"/>
      <c r="B27" s="278" t="s">
        <v>36</v>
      </c>
      <c r="C27" s="1168"/>
      <c r="D27" s="1168"/>
      <c r="E27" s="1170"/>
      <c r="F27" s="1166">
        <f>ROUND(E25*E26,6)</f>
        <v>0</v>
      </c>
      <c r="G27" s="1164"/>
      <c r="L27" s="550"/>
    </row>
    <row r="28" spans="1:12" ht="15.5">
      <c r="A28" s="550"/>
      <c r="B28" s="278"/>
      <c r="C28" s="1165"/>
      <c r="D28" s="1165"/>
      <c r="E28" s="407"/>
      <c r="F28" s="1166"/>
      <c r="G28" s="1164"/>
      <c r="L28" s="550"/>
    </row>
    <row r="29" spans="1:12" ht="16" thickBot="1">
      <c r="A29" s="550"/>
      <c r="B29" s="407" t="s">
        <v>340</v>
      </c>
      <c r="C29" s="1165"/>
      <c r="D29" s="1165"/>
      <c r="E29" s="407"/>
      <c r="F29" s="1171">
        <f>+ROUND(SUM(F10:F28),4)</f>
        <v>5.6599999999999998E-2</v>
      </c>
      <c r="G29" s="1164"/>
      <c r="I29" s="1172"/>
      <c r="L29" s="550"/>
    </row>
    <row r="30" spans="1:12" ht="13.5" thickTop="1">
      <c r="A30" s="550"/>
      <c r="G30" s="1164"/>
      <c r="L30" s="550"/>
    </row>
    <row r="31" spans="1:12" ht="15.5">
      <c r="A31" s="550"/>
      <c r="B31" s="1173" t="s">
        <v>644</v>
      </c>
      <c r="G31" s="1164"/>
      <c r="L31" s="550"/>
    </row>
    <row r="32" spans="1:12" ht="15.5">
      <c r="A32" s="550"/>
      <c r="B32" s="407" t="s">
        <v>131</v>
      </c>
      <c r="G32" s="1164"/>
      <c r="L32" s="550"/>
    </row>
    <row r="33" spans="1:12" ht="15.5">
      <c r="A33" s="550"/>
      <c r="B33" s="407"/>
      <c r="G33" s="1164"/>
      <c r="L33" s="550"/>
    </row>
    <row r="34" spans="1:12" ht="18">
      <c r="A34" s="1159" t="s">
        <v>310</v>
      </c>
      <c r="B34" s="741" t="s">
        <v>359</v>
      </c>
      <c r="C34" s="407"/>
      <c r="D34" s="407"/>
      <c r="E34" s="407"/>
      <c r="F34" s="407"/>
    </row>
    <row r="35" spans="1:12" ht="18">
      <c r="C35" s="741"/>
      <c r="I35" s="2049" t="s">
        <v>501</v>
      </c>
      <c r="J35" s="2049"/>
      <c r="K35" s="2049"/>
      <c r="L35" s="407"/>
    </row>
    <row r="36" spans="1:12" ht="15.5">
      <c r="I36" s="407"/>
      <c r="J36" s="407"/>
      <c r="K36" s="407"/>
      <c r="L36" s="407"/>
    </row>
    <row r="37" spans="1:12" ht="15.5">
      <c r="I37" s="670" t="s">
        <v>37</v>
      </c>
      <c r="J37" s="670"/>
      <c r="K37" s="670" t="s">
        <v>38</v>
      </c>
      <c r="L37" s="407"/>
    </row>
    <row r="38" spans="1:12" ht="15.5">
      <c r="A38" s="670" t="s">
        <v>152</v>
      </c>
      <c r="B38" s="57" t="str">
        <f>"REVENUE REQUIREMENT BEFORE TEXAS GROSS MARGIN TAX (TCOS ln "&amp;'OKT TCOS'!B191&amp;") "</f>
        <v xml:space="preserve">REVENUE REQUIREMENT BEFORE TEXAS GROSS MARGIN TAX (TCOS ln 116) </v>
      </c>
      <c r="I38" s="1174">
        <f>+'OKT TCOS'!G188</f>
        <v>129985916.88206701</v>
      </c>
      <c r="J38" s="407"/>
      <c r="K38" s="1174">
        <f>+'OKT TCOS'!L188</f>
        <v>118750671.40136826</v>
      </c>
      <c r="L38" s="407"/>
    </row>
    <row r="39" spans="1:12" ht="15.5">
      <c r="A39" s="407"/>
      <c r="B39" s="57"/>
      <c r="I39" s="407"/>
      <c r="J39" s="407"/>
      <c r="K39" s="407"/>
      <c r="L39" s="407"/>
    </row>
    <row r="40" spans="1:12" ht="15.5">
      <c r="A40" s="670">
        <v>1</v>
      </c>
      <c r="B40" s="57" t="str">
        <f>"Apportionment Factor to Texas (ln"&amp;A53&amp;")"</f>
        <v>Apportionment Factor to Texas (ln12)</v>
      </c>
      <c r="I40" s="1175">
        <f>+$E53</f>
        <v>0</v>
      </c>
      <c r="J40" s="407"/>
      <c r="K40" s="1175">
        <f>+$E53</f>
        <v>0</v>
      </c>
      <c r="L40" s="407"/>
    </row>
    <row r="41" spans="1:12" ht="15.5">
      <c r="A41" s="670">
        <f t="shared" ref="A41:A46" si="0">+A40+1</f>
        <v>2</v>
      </c>
      <c r="B41" s="57" t="s">
        <v>39</v>
      </c>
      <c r="I41" s="79">
        <f>+I38*I40</f>
        <v>0</v>
      </c>
      <c r="J41" s="407"/>
      <c r="K41" s="79">
        <f>+K38*K40</f>
        <v>0</v>
      </c>
      <c r="L41" s="407"/>
    </row>
    <row r="42" spans="1:12" ht="15.5">
      <c r="A42" s="670">
        <f t="shared" si="0"/>
        <v>3</v>
      </c>
      <c r="B42" s="57" t="s">
        <v>645</v>
      </c>
      <c r="I42" s="1176">
        <v>0.22</v>
      </c>
      <c r="J42" s="407"/>
      <c r="K42" s="1177">
        <f>+I42</f>
        <v>0.22</v>
      </c>
      <c r="L42" s="407"/>
    </row>
    <row r="43" spans="1:12" ht="15.5">
      <c r="A43" s="670">
        <f t="shared" si="0"/>
        <v>4</v>
      </c>
      <c r="B43" s="57" t="s">
        <v>40</v>
      </c>
      <c r="I43" s="1178">
        <f>+I41*I42</f>
        <v>0</v>
      </c>
      <c r="J43" s="407"/>
      <c r="K43" s="1178">
        <f>+K41*K42</f>
        <v>0</v>
      </c>
      <c r="L43" s="407"/>
    </row>
    <row r="44" spans="1:12" ht="15.5">
      <c r="A44" s="670">
        <f t="shared" si="0"/>
        <v>5</v>
      </c>
      <c r="B44" s="57" t="s">
        <v>646</v>
      </c>
      <c r="I44" s="1177">
        <v>0.01</v>
      </c>
      <c r="J44" s="407"/>
      <c r="K44" s="1177">
        <f>+I44</f>
        <v>0.01</v>
      </c>
      <c r="L44" s="407"/>
    </row>
    <row r="45" spans="1:12" ht="15.5">
      <c r="A45" s="670">
        <f t="shared" si="0"/>
        <v>6</v>
      </c>
      <c r="B45" s="57" t="s">
        <v>41</v>
      </c>
      <c r="I45" s="289">
        <f>+I43*I44</f>
        <v>0</v>
      </c>
      <c r="J45" s="407"/>
      <c r="K45" s="289">
        <f>+K43*K44</f>
        <v>0</v>
      </c>
      <c r="L45" s="407"/>
    </row>
    <row r="46" spans="1:12" ht="15.5">
      <c r="A46" s="670">
        <f t="shared" si="0"/>
        <v>7</v>
      </c>
      <c r="B46" s="53" t="s">
        <v>42</v>
      </c>
      <c r="I46" s="305">
        <f>+ROUND((I45*I42*I40)/(1-I44)*I44,0)</f>
        <v>0</v>
      </c>
      <c r="J46" s="407"/>
      <c r="K46" s="305">
        <f>+ROUND((K45*K42*K40)/(1-K44)*K44,0)</f>
        <v>0</v>
      </c>
      <c r="L46" s="407"/>
    </row>
    <row r="47" spans="1:12" ht="15.5">
      <c r="A47" s="670"/>
      <c r="B47" s="53"/>
      <c r="D47" s="1179" t="str">
        <f>"   ((ln "&amp;A45&amp;" * ln "&amp;A42&amp;" * ln "&amp;A40&amp;")/(1- ln "&amp;A44&amp;") * ln "&amp;A44&amp;")"</f>
        <v xml:space="preserve">   ((ln 6 * ln 3 * ln 1)/(1- ln 5) * ln 5)</v>
      </c>
      <c r="I47" s="305"/>
      <c r="J47" s="407"/>
      <c r="K47" s="305"/>
      <c r="L47" s="407"/>
    </row>
    <row r="48" spans="1:12" ht="15.5">
      <c r="A48" s="670">
        <f>+A46+1</f>
        <v>8</v>
      </c>
      <c r="B48" s="53" t="s">
        <v>31</v>
      </c>
      <c r="I48" s="1180">
        <f>+I45+I46</f>
        <v>0</v>
      </c>
      <c r="J48" s="407"/>
      <c r="K48" s="1180">
        <f>+K45+K46</f>
        <v>0</v>
      </c>
      <c r="L48" s="407"/>
    </row>
    <row r="49" spans="1:12" ht="15.5">
      <c r="A49" s="670"/>
      <c r="I49" s="407"/>
      <c r="J49" s="407"/>
      <c r="K49" s="407"/>
      <c r="L49" s="407"/>
    </row>
    <row r="50" spans="1:12" ht="15.5">
      <c r="A50" s="670">
        <f>+A48+1</f>
        <v>9</v>
      </c>
      <c r="B50" s="317" t="s">
        <v>43</v>
      </c>
      <c r="C50" s="376"/>
      <c r="D50" s="61"/>
      <c r="E50" s="53"/>
    </row>
    <row r="51" spans="1:12" ht="15.5">
      <c r="A51" s="670">
        <f>+A50+1</f>
        <v>10</v>
      </c>
      <c r="B51" s="317" t="s">
        <v>44</v>
      </c>
      <c r="C51" s="376"/>
      <c r="D51" s="61"/>
      <c r="E51" s="1181">
        <v>0</v>
      </c>
      <c r="F51" s="497" t="s">
        <v>1</v>
      </c>
      <c r="G51" s="734"/>
    </row>
    <row r="52" spans="1:12" ht="15.5">
      <c r="A52" s="670">
        <f>+A51+1</f>
        <v>11</v>
      </c>
      <c r="B52" s="317" t="s">
        <v>45</v>
      </c>
      <c r="C52" s="376"/>
      <c r="D52" s="61"/>
      <c r="E52" s="1181">
        <v>0</v>
      </c>
      <c r="F52" s="497" t="s">
        <v>1</v>
      </c>
    </row>
    <row r="53" spans="1:12" ht="15.5">
      <c r="A53" s="670">
        <f>+A52+1</f>
        <v>12</v>
      </c>
      <c r="B53" s="317" t="s">
        <v>46</v>
      </c>
      <c r="C53" s="376" t="str">
        <f>"(ln "&amp;A51&amp;" / ln "&amp;A52&amp;")"</f>
        <v>(ln 10 / ln 11)</v>
      </c>
      <c r="D53" s="61"/>
      <c r="E53" s="1182">
        <f>IF(E52=0,0,E51/E52)</f>
        <v>0</v>
      </c>
    </row>
  </sheetData>
  <mergeCells count="5">
    <mergeCell ref="I35:K35"/>
    <mergeCell ref="A2:H2"/>
    <mergeCell ref="A3:H3"/>
    <mergeCell ref="A4:H4"/>
    <mergeCell ref="A5:G5"/>
  </mergeCells>
  <phoneticPr fontId="0" type="noConversion"/>
  <printOptions horizontalCentered="1"/>
  <pageMargins left="0.25" right="0.25" top="1" bottom="0.25" header="0.25" footer="0.5"/>
  <pageSetup scale="61" orientation="landscape" horizontalDpi="1200" verticalDpi="1200" r:id="rId1"/>
  <headerFooter alignWithMargins="0">
    <oddHeader xml:space="preserve">&amp;R&amp;12AEP - SPP Transco Formula Rate
TCOS - WS K
Page: &amp;P of &amp;N
</oddHeader>
    <oddFooter xml:space="preserve">&amp;C &amp;R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C189"/>
  <sheetViews>
    <sheetView showGridLines="0" topLeftCell="A22" zoomScale="81" zoomScaleNormal="81" zoomScaleSheetLayoutView="75" zoomScalePageLayoutView="50" workbookViewId="0">
      <selection activeCell="G54" sqref="G54:K54"/>
    </sheetView>
  </sheetViews>
  <sheetFormatPr defaultColWidth="9.1796875" defaultRowHeight="12.5"/>
  <cols>
    <col min="1" max="1" width="7.26953125" style="1227" customWidth="1"/>
    <col min="2" max="2" width="1.7265625" style="1184" customWidth="1"/>
    <col min="3" max="3" width="77" style="1184" customWidth="1"/>
    <col min="4" max="4" width="1.7265625" style="1184" customWidth="1"/>
    <col min="5" max="5" width="20.453125" style="1185" customWidth="1"/>
    <col min="6" max="6" width="1.7265625" style="1186" customWidth="1"/>
    <col min="7" max="7" width="20" style="1186" bestFit="1" customWidth="1"/>
    <col min="8" max="8" width="1.7265625" style="1186" customWidth="1"/>
    <col min="9" max="9" width="21.453125" style="1186" customWidth="1"/>
    <col min="10" max="10" width="1.7265625" style="1186" customWidth="1"/>
    <col min="11" max="11" width="17.7265625" style="1186" bestFit="1" customWidth="1"/>
    <col min="12" max="12" width="3.453125" style="1186" customWidth="1"/>
    <col min="13" max="13" width="21.26953125" style="1186" bestFit="1" customWidth="1"/>
    <col min="14" max="14" width="1.7265625" style="1186" hidden="1" customWidth="1"/>
    <col min="15" max="15" width="22.1796875" style="1186" customWidth="1"/>
    <col min="16" max="20" width="9.1796875" style="1186"/>
    <col min="21" max="21" width="13" style="1186" customWidth="1"/>
    <col min="22" max="16384" width="9.1796875" style="1186"/>
  </cols>
  <sheetData>
    <row r="1" spans="1:29" ht="15.5">
      <c r="A1" s="1183"/>
    </row>
    <row r="2" spans="1:29" ht="18.75" customHeight="1">
      <c r="A2" s="1996" t="str">
        <f>+'OKT TCOS'!F4</f>
        <v xml:space="preserve">AEP West SPP Member Transmission Companies </v>
      </c>
      <c r="B2" s="1996"/>
      <c r="C2" s="1996"/>
      <c r="D2" s="1996"/>
      <c r="E2" s="1996"/>
      <c r="F2" s="1996"/>
      <c r="G2" s="1996"/>
      <c r="H2" s="1996"/>
      <c r="I2" s="1996"/>
      <c r="J2" s="1996"/>
      <c r="K2" s="1996"/>
      <c r="L2" s="1996"/>
      <c r="M2" s="1996"/>
    </row>
    <row r="3" spans="1:29" ht="18.75" customHeight="1">
      <c r="A3" s="1990" t="str">
        <f>+'OKT WS A-1 - Plant'!A3</f>
        <v xml:space="preserve">Actual / Projected 2019 Rate Year Cost of Service Formula Rate </v>
      </c>
      <c r="B3" s="1990"/>
      <c r="C3" s="1990"/>
      <c r="D3" s="1990"/>
      <c r="E3" s="1990"/>
      <c r="F3" s="1990"/>
      <c r="G3" s="1990"/>
      <c r="H3" s="1990"/>
      <c r="I3" s="1990"/>
      <c r="J3" s="1990"/>
      <c r="K3" s="1990"/>
      <c r="L3" s="1990"/>
      <c r="M3" s="1990"/>
    </row>
    <row r="4" spans="1:29" ht="18.75" customHeight="1">
      <c r="A4" s="1991" t="s">
        <v>116</v>
      </c>
      <c r="B4" s="1990"/>
      <c r="C4" s="1990"/>
      <c r="D4" s="1990"/>
      <c r="E4" s="1990"/>
      <c r="F4" s="1990"/>
      <c r="G4" s="1990"/>
      <c r="H4" s="1990"/>
      <c r="I4" s="1990"/>
      <c r="J4" s="1990"/>
      <c r="K4" s="1990"/>
      <c r="L4" s="1990"/>
      <c r="M4" s="1990"/>
    </row>
    <row r="5" spans="1:29" ht="18" customHeight="1">
      <c r="A5" s="1997" t="str">
        <f>+'OKT TCOS'!F8</f>
        <v>AEP OKLAHOMA TRANSMISSION COMPANY, INC.</v>
      </c>
      <c r="B5" s="1997"/>
      <c r="C5" s="1997"/>
      <c r="D5" s="1997"/>
      <c r="E5" s="1997"/>
      <c r="F5" s="1997"/>
      <c r="G5" s="1997"/>
      <c r="H5" s="1997"/>
      <c r="I5" s="1997"/>
      <c r="J5" s="1997"/>
      <c r="K5" s="1997"/>
      <c r="L5" s="1997"/>
      <c r="M5" s="1997"/>
    </row>
    <row r="6" spans="1:29" ht="18" customHeight="1">
      <c r="A6" s="2051"/>
      <c r="B6" s="2051"/>
      <c r="C6" s="2051"/>
      <c r="D6" s="2051"/>
      <c r="E6" s="2051"/>
      <c r="F6" s="2051"/>
      <c r="G6" s="2051"/>
      <c r="H6" s="2051"/>
      <c r="I6" s="2051"/>
      <c r="J6" s="2051"/>
      <c r="K6" s="2051"/>
      <c r="L6" s="2051"/>
      <c r="M6" s="2051"/>
    </row>
    <row r="7" spans="1:29" ht="18" customHeight="1">
      <c r="A7" s="2050"/>
      <c r="B7" s="2050"/>
      <c r="C7" s="2050"/>
      <c r="D7" s="2050"/>
      <c r="E7" s="2050"/>
      <c r="F7" s="2050"/>
      <c r="G7" s="2050"/>
      <c r="H7" s="2050"/>
      <c r="I7" s="2050"/>
      <c r="J7" s="2050"/>
      <c r="K7" s="2050"/>
      <c r="L7" s="2050"/>
      <c r="M7" s="2050"/>
    </row>
    <row r="8" spans="1:29" ht="18" customHeight="1">
      <c r="A8" s="943"/>
      <c r="B8" s="943"/>
      <c r="C8" s="943"/>
      <c r="D8" s="943"/>
      <c r="E8" s="943"/>
      <c r="F8" s="943"/>
      <c r="G8" s="943"/>
      <c r="H8" s="943"/>
      <c r="I8" s="943"/>
      <c r="J8" s="943"/>
      <c r="K8" s="943"/>
      <c r="L8" s="943"/>
      <c r="M8" s="943"/>
    </row>
    <row r="9" spans="1:29" ht="19.5" customHeight="1">
      <c r="A9" s="1187"/>
      <c r="B9" s="1188"/>
      <c r="C9" s="538" t="s">
        <v>300</v>
      </c>
      <c r="E9" s="538" t="s">
        <v>301</v>
      </c>
      <c r="G9" s="538" t="s">
        <v>302</v>
      </c>
      <c r="I9" s="538" t="s">
        <v>303</v>
      </c>
      <c r="K9" s="538" t="s">
        <v>228</v>
      </c>
      <c r="M9" s="538" t="s">
        <v>229</v>
      </c>
    </row>
    <row r="10" spans="1:29" ht="18">
      <c r="A10" s="1189"/>
      <c r="B10" s="1190"/>
      <c r="C10" s="1190"/>
      <c r="D10" s="1190"/>
      <c r="E10" s="497"/>
      <c r="F10" s="497"/>
      <c r="G10" s="497"/>
      <c r="H10" s="497"/>
      <c r="I10" s="497"/>
      <c r="J10" s="497"/>
      <c r="K10" s="497"/>
      <c r="L10" s="497"/>
      <c r="M10" s="497"/>
      <c r="Q10" s="670"/>
      <c r="R10" s="670"/>
      <c r="S10" s="670"/>
      <c r="T10" s="670"/>
      <c r="U10" s="670"/>
      <c r="V10" s="670"/>
      <c r="W10" s="670"/>
      <c r="X10" s="670"/>
      <c r="Y10" s="670"/>
      <c r="Z10" s="670"/>
      <c r="AA10" s="670"/>
      <c r="AB10" s="670"/>
      <c r="AC10" s="670"/>
    </row>
    <row r="11" spans="1:29" ht="18">
      <c r="A11" s="1189" t="s">
        <v>307</v>
      </c>
      <c r="B11" s="1190"/>
      <c r="C11" s="1190"/>
      <c r="D11" s="1190"/>
      <c r="E11" s="1191" t="s">
        <v>257</v>
      </c>
      <c r="F11" s="1189"/>
      <c r="G11" s="1189"/>
      <c r="H11" s="1189"/>
      <c r="I11" s="1189"/>
      <c r="J11" s="1189"/>
      <c r="K11" s="1192"/>
      <c r="L11" s="1192"/>
      <c r="M11" s="1193"/>
    </row>
    <row r="12" spans="1:29" ht="18">
      <c r="A12" s="1194" t="s">
        <v>256</v>
      </c>
      <c r="B12" s="1190"/>
      <c r="C12" s="1194" t="s">
        <v>389</v>
      </c>
      <c r="D12" s="1190"/>
      <c r="E12" s="1195" t="s">
        <v>319</v>
      </c>
      <c r="F12" s="1189"/>
      <c r="G12" s="1194" t="s">
        <v>390</v>
      </c>
      <c r="H12" s="1189"/>
      <c r="I12" s="1194" t="s">
        <v>299</v>
      </c>
      <c r="J12" s="1189"/>
      <c r="K12" s="1196" t="s">
        <v>317</v>
      </c>
      <c r="L12" s="1197"/>
      <c r="M12" s="1196" t="s">
        <v>391</v>
      </c>
    </row>
    <row r="13" spans="1:29" ht="17.5">
      <c r="A13" s="1198"/>
      <c r="B13" s="1188"/>
      <c r="C13" s="1199"/>
      <c r="D13" s="1199"/>
      <c r="E13" s="1199"/>
      <c r="F13" s="1199"/>
      <c r="G13" s="1199"/>
      <c r="H13" s="1199"/>
      <c r="I13" s="1199"/>
      <c r="J13" s="1199"/>
      <c r="K13" s="1200"/>
      <c r="L13" s="1200"/>
    </row>
    <row r="14" spans="1:29" ht="17.5">
      <c r="A14" s="1187"/>
      <c r="B14" s="1188"/>
      <c r="C14" s="1201"/>
      <c r="D14" s="1188"/>
      <c r="E14" s="1202"/>
      <c r="F14" s="1203"/>
      <c r="G14" s="1203"/>
      <c r="H14" s="1203"/>
      <c r="I14" s="1202"/>
      <c r="J14" s="1203"/>
      <c r="K14" s="1200"/>
      <c r="L14" s="1200"/>
    </row>
    <row r="15" spans="1:29" ht="17.5">
      <c r="A15" s="1187">
        <v>1</v>
      </c>
      <c r="B15" s="1188"/>
      <c r="C15" s="1204" t="s">
        <v>394</v>
      </c>
      <c r="D15" s="1188"/>
      <c r="E15" s="1200"/>
      <c r="F15" s="1200"/>
      <c r="G15" s="1205"/>
      <c r="H15" s="1205"/>
      <c r="I15" s="1205"/>
      <c r="J15" s="1205"/>
      <c r="K15" s="1205"/>
      <c r="L15" s="1205"/>
      <c r="M15" s="1205"/>
    </row>
    <row r="16" spans="1:29" ht="17.5">
      <c r="A16" s="1187">
        <f>+A15+1</f>
        <v>2</v>
      </c>
      <c r="B16" s="1188"/>
      <c r="C16" s="1206"/>
      <c r="D16" s="1188"/>
      <c r="E16" s="1206"/>
      <c r="F16" s="1200"/>
      <c r="G16" s="1206"/>
      <c r="H16" s="1206"/>
      <c r="I16" s="1206"/>
      <c r="J16" s="1206"/>
      <c r="K16" s="1206"/>
      <c r="L16" s="1206"/>
      <c r="M16" s="1206">
        <f>+E16</f>
        <v>0</v>
      </c>
    </row>
    <row r="17" spans="1:25" ht="17.5">
      <c r="A17" s="1187">
        <f>+A16+1</f>
        <v>3</v>
      </c>
      <c r="B17" s="1188"/>
      <c r="C17" s="1206"/>
      <c r="D17" s="1188"/>
      <c r="E17" s="1206"/>
      <c r="F17" s="1200"/>
      <c r="G17" s="1206"/>
      <c r="H17" s="1206"/>
      <c r="I17" s="1206"/>
      <c r="J17" s="1206"/>
      <c r="K17" s="1206"/>
      <c r="L17" s="1206"/>
      <c r="M17" s="1206"/>
    </row>
    <row r="18" spans="1:25" ht="17.5">
      <c r="A18" s="1187"/>
      <c r="B18" s="1188"/>
      <c r="C18" s="1192"/>
      <c r="D18" s="1188"/>
      <c r="E18" s="1207"/>
      <c r="F18" s="1200"/>
      <c r="G18" s="1207"/>
      <c r="H18" s="1207"/>
      <c r="I18" s="1207"/>
      <c r="J18" s="1207"/>
      <c r="K18" s="1207"/>
      <c r="L18" s="1207"/>
      <c r="M18" s="1207"/>
      <c r="O18" s="1208"/>
    </row>
    <row r="19" spans="1:25" ht="17.5">
      <c r="A19" s="1187">
        <f>+A17+1</f>
        <v>4</v>
      </c>
      <c r="B19" s="1188"/>
      <c r="C19" s="1204" t="s">
        <v>395</v>
      </c>
      <c r="D19" s="1188"/>
      <c r="E19" s="1206"/>
      <c r="F19" s="1200"/>
      <c r="G19" s="1206"/>
      <c r="H19" s="1206"/>
      <c r="I19" s="1206"/>
      <c r="J19" s="1206"/>
      <c r="K19" s="1206"/>
      <c r="L19" s="1206"/>
      <c r="M19" s="1206"/>
      <c r="O19" s="132"/>
    </row>
    <row r="20" spans="1:25" ht="17.5">
      <c r="A20" s="1187">
        <f>+A19+1</f>
        <v>5</v>
      </c>
      <c r="B20" s="1188"/>
      <c r="C20" s="1209" t="s">
        <v>1021</v>
      </c>
      <c r="D20" s="1188"/>
      <c r="E20" s="1206">
        <v>0</v>
      </c>
      <c r="F20" s="1203"/>
      <c r="G20" s="1206">
        <f>+E20</f>
        <v>0</v>
      </c>
      <c r="H20" s="1206"/>
      <c r="I20" s="1206"/>
      <c r="J20" s="1206"/>
      <c r="K20" s="1206"/>
      <c r="L20" s="1206"/>
      <c r="M20" s="1206"/>
      <c r="O20" s="132"/>
      <c r="P20" s="497"/>
      <c r="Q20" s="497"/>
      <c r="R20" s="497"/>
      <c r="S20" s="497"/>
      <c r="T20" s="497"/>
      <c r="U20" s="497"/>
      <c r="V20" s="497"/>
      <c r="W20" s="497"/>
      <c r="X20" s="497"/>
      <c r="Y20" s="497"/>
    </row>
    <row r="21" spans="1:25" ht="17.5">
      <c r="A21" s="1187">
        <f>+A20+1</f>
        <v>6</v>
      </c>
      <c r="B21" s="1188"/>
      <c r="C21" s="1209" t="s">
        <v>1075</v>
      </c>
      <c r="D21" s="1188"/>
      <c r="E21" s="1206">
        <v>9870369</v>
      </c>
      <c r="F21" s="1200"/>
      <c r="G21" s="1206">
        <f>+E21</f>
        <v>9870369</v>
      </c>
      <c r="H21" s="1206"/>
      <c r="I21" s="1206"/>
      <c r="J21" s="1206"/>
      <c r="K21" s="1206"/>
      <c r="L21" s="1206"/>
      <c r="M21" s="1206"/>
      <c r="O21" s="132"/>
      <c r="P21" s="497"/>
      <c r="Q21" s="497"/>
      <c r="R21" s="497"/>
      <c r="S21" s="497"/>
      <c r="T21" s="497"/>
      <c r="U21" s="497"/>
      <c r="V21" s="497"/>
      <c r="W21" s="497"/>
      <c r="X21" s="497"/>
      <c r="Y21" s="497"/>
    </row>
    <row r="22" spans="1:25" ht="17.5">
      <c r="A22" s="1187">
        <f>+A21+1</f>
        <v>7</v>
      </c>
      <c r="B22" s="1188"/>
      <c r="C22" s="1210"/>
      <c r="D22" s="1188"/>
      <c r="E22" s="1210"/>
      <c r="F22" s="1203"/>
      <c r="G22" s="1206"/>
      <c r="H22" s="1206"/>
      <c r="I22" s="1206"/>
      <c r="J22" s="1206"/>
      <c r="K22" s="1206"/>
      <c r="L22" s="1206"/>
      <c r="M22" s="1210"/>
      <c r="O22" s="132"/>
      <c r="P22" s="497"/>
      <c r="Q22" s="497"/>
      <c r="R22" s="497"/>
      <c r="S22" s="497"/>
      <c r="T22" s="497"/>
      <c r="U22" s="497"/>
      <c r="V22" s="497"/>
      <c r="W22" s="497"/>
      <c r="X22" s="497"/>
      <c r="Y22" s="497"/>
    </row>
    <row r="23" spans="1:25" ht="17.5">
      <c r="A23" s="1187">
        <f>+A22+1</f>
        <v>8</v>
      </c>
      <c r="B23" s="1188"/>
      <c r="C23" s="1206"/>
      <c r="D23" s="1188"/>
      <c r="E23" s="1206"/>
      <c r="F23" s="1200"/>
      <c r="G23" s="1206"/>
      <c r="H23" s="1206"/>
      <c r="I23" s="1206"/>
      <c r="J23" s="1206"/>
      <c r="K23" s="1206"/>
      <c r="L23" s="1206"/>
      <c r="M23" s="1206"/>
      <c r="O23" s="132"/>
      <c r="P23" s="497"/>
      <c r="Q23" s="497"/>
      <c r="R23" s="497"/>
      <c r="S23" s="497"/>
      <c r="T23" s="497"/>
      <c r="U23" s="497"/>
      <c r="V23" s="497"/>
      <c r="W23" s="497"/>
      <c r="X23" s="497"/>
      <c r="Y23" s="497"/>
    </row>
    <row r="24" spans="1:25" ht="17.5">
      <c r="A24" s="1187">
        <f>+A23+1</f>
        <v>9</v>
      </c>
      <c r="B24" s="1188"/>
      <c r="C24" s="1206"/>
      <c r="D24" s="1188"/>
      <c r="E24" s="1206"/>
      <c r="F24" s="1200"/>
      <c r="G24" s="1206"/>
      <c r="H24" s="1206"/>
      <c r="I24" s="1206"/>
      <c r="J24" s="1206"/>
      <c r="K24" s="1206"/>
      <c r="L24" s="1206"/>
      <c r="M24" s="1206">
        <f>+E24</f>
        <v>0</v>
      </c>
      <c r="O24" s="132"/>
      <c r="P24" s="497"/>
      <c r="Q24" s="497"/>
      <c r="R24" s="497"/>
      <c r="S24" s="497"/>
      <c r="T24" s="497"/>
      <c r="U24" s="497"/>
      <c r="V24" s="497"/>
      <c r="W24" s="497"/>
      <c r="X24" s="497"/>
      <c r="Y24" s="497"/>
    </row>
    <row r="25" spans="1:25" ht="17.5">
      <c r="A25" s="1187"/>
      <c r="B25" s="1188"/>
      <c r="C25" s="1192"/>
      <c r="D25" s="1188"/>
      <c r="E25" s="1207"/>
      <c r="F25" s="1200"/>
      <c r="G25" s="1207"/>
      <c r="H25" s="1207"/>
      <c r="I25" s="1207"/>
      <c r="J25" s="1207"/>
      <c r="K25" s="1207"/>
      <c r="L25" s="1207"/>
      <c r="M25" s="1207"/>
      <c r="O25" s="132"/>
      <c r="P25" s="497"/>
      <c r="Q25" s="497"/>
      <c r="R25" s="497"/>
      <c r="S25" s="497"/>
      <c r="T25" s="497"/>
      <c r="U25" s="497"/>
      <c r="V25" s="497"/>
      <c r="W25" s="497"/>
      <c r="X25" s="497"/>
      <c r="Y25" s="497"/>
    </row>
    <row r="26" spans="1:25" ht="17.5">
      <c r="A26" s="1187">
        <f>+A24+1</f>
        <v>10</v>
      </c>
      <c r="B26" s="1188"/>
      <c r="C26" s="1204" t="s">
        <v>396</v>
      </c>
      <c r="D26" s="1188"/>
      <c r="E26" s="1207"/>
      <c r="F26" s="1200"/>
      <c r="G26" s="1207"/>
      <c r="H26" s="1207"/>
      <c r="I26" s="1207"/>
      <c r="J26" s="1207"/>
      <c r="K26" s="1207"/>
      <c r="L26" s="1207"/>
      <c r="M26" s="1207"/>
      <c r="O26" s="497"/>
      <c r="P26" s="497"/>
      <c r="Q26" s="497"/>
      <c r="R26" s="497"/>
      <c r="S26" s="497"/>
      <c r="T26" s="497"/>
      <c r="U26" s="497"/>
      <c r="V26" s="497"/>
      <c r="W26" s="497"/>
      <c r="X26" s="497"/>
      <c r="Y26" s="497"/>
    </row>
    <row r="27" spans="1:25" ht="17.5">
      <c r="A27" s="1187">
        <f>+A26+1</f>
        <v>11</v>
      </c>
      <c r="B27" s="1188"/>
      <c r="C27" s="1206"/>
      <c r="D27" s="1188"/>
      <c r="E27" s="1206"/>
      <c r="F27" s="1200"/>
      <c r="G27" s="1206"/>
      <c r="H27" s="1206"/>
      <c r="I27" s="1206"/>
      <c r="J27" s="1206"/>
      <c r="K27" s="1206"/>
      <c r="L27" s="1206"/>
      <c r="M27" s="1206"/>
      <c r="O27" s="497"/>
      <c r="P27" s="497"/>
      <c r="Q27" s="497"/>
      <c r="R27" s="497"/>
      <c r="S27" s="497"/>
      <c r="T27" s="497"/>
      <c r="U27" s="497"/>
      <c r="V27" s="497"/>
      <c r="W27" s="497"/>
      <c r="X27" s="497"/>
      <c r="Y27" s="497"/>
    </row>
    <row r="28" spans="1:25" ht="17.5">
      <c r="A28" s="1187">
        <f>+A27+1</f>
        <v>12</v>
      </c>
      <c r="B28" s="1188"/>
      <c r="C28" s="1206"/>
      <c r="D28" s="1188"/>
      <c r="E28" s="1206"/>
      <c r="F28" s="1200"/>
      <c r="G28" s="1206"/>
      <c r="H28" s="1206"/>
      <c r="I28" s="1206"/>
      <c r="J28" s="1206"/>
      <c r="K28" s="1206"/>
      <c r="L28" s="1206"/>
      <c r="M28" s="1206"/>
      <c r="O28" s="497"/>
      <c r="P28" s="497"/>
      <c r="Q28" s="497"/>
      <c r="R28" s="497"/>
      <c r="S28" s="497"/>
      <c r="T28" s="497"/>
      <c r="U28" s="497"/>
      <c r="V28" s="497"/>
      <c r="W28" s="497"/>
      <c r="X28" s="497"/>
      <c r="Y28" s="497"/>
    </row>
    <row r="29" spans="1:25" ht="17.5">
      <c r="A29" s="1187">
        <f>+A28+1</f>
        <v>13</v>
      </c>
      <c r="B29" s="1188"/>
      <c r="C29" s="1206"/>
      <c r="D29" s="1188"/>
      <c r="E29" s="1206"/>
      <c r="F29" s="1200"/>
      <c r="G29" s="1206"/>
      <c r="H29" s="1206"/>
      <c r="I29" s="1206"/>
      <c r="J29" s="1206"/>
      <c r="K29" s="1206"/>
      <c r="L29" s="1206"/>
      <c r="M29" s="1206"/>
      <c r="O29" s="497"/>
      <c r="P29" s="497"/>
      <c r="Q29" s="497"/>
      <c r="R29" s="497"/>
      <c r="S29" s="497"/>
      <c r="T29" s="497"/>
      <c r="U29" s="497"/>
      <c r="V29" s="497"/>
      <c r="W29" s="497"/>
      <c r="X29" s="497"/>
      <c r="Y29" s="497"/>
    </row>
    <row r="30" spans="1:25" ht="17.5">
      <c r="A30" s="1187">
        <f>+A29+1</f>
        <v>14</v>
      </c>
      <c r="B30" s="1188"/>
      <c r="C30" s="1210"/>
      <c r="D30" s="1188"/>
      <c r="E30" s="1210"/>
      <c r="F30" s="1203"/>
      <c r="G30" s="1206"/>
      <c r="H30" s="1206"/>
      <c r="I30" s="1206"/>
      <c r="J30" s="1206"/>
      <c r="K30" s="1206"/>
      <c r="L30" s="1206"/>
      <c r="M30" s="1210"/>
      <c r="O30" s="497"/>
      <c r="P30" s="497"/>
      <c r="Q30" s="497"/>
      <c r="R30" s="497"/>
      <c r="S30" s="497"/>
      <c r="T30" s="497"/>
      <c r="U30" s="497"/>
      <c r="V30" s="497"/>
      <c r="W30" s="497"/>
      <c r="X30" s="497"/>
      <c r="Y30" s="497"/>
    </row>
    <row r="31" spans="1:25" ht="17.5">
      <c r="A31" s="1187" t="s">
        <v>253</v>
      </c>
      <c r="B31" s="1188"/>
      <c r="C31" s="1200"/>
      <c r="D31" s="1188"/>
      <c r="E31" s="1207"/>
      <c r="F31" s="1200"/>
      <c r="G31" s="1207"/>
      <c r="H31" s="1207"/>
      <c r="I31" s="1207"/>
      <c r="J31" s="1207"/>
      <c r="K31" s="1207"/>
      <c r="L31" s="1207"/>
      <c r="M31" s="1207"/>
      <c r="O31" s="497"/>
      <c r="P31" s="497"/>
      <c r="Q31" s="497"/>
      <c r="R31" s="497"/>
      <c r="S31" s="497"/>
      <c r="T31" s="497"/>
      <c r="U31" s="497"/>
      <c r="V31" s="497"/>
      <c r="W31" s="497"/>
      <c r="X31" s="497"/>
      <c r="Y31" s="497"/>
    </row>
    <row r="32" spans="1:25" ht="17.5">
      <c r="A32" s="1187">
        <f>+A30+1</f>
        <v>15</v>
      </c>
      <c r="B32" s="1188"/>
      <c r="C32" s="1204" t="s">
        <v>62</v>
      </c>
      <c r="D32" s="1188"/>
      <c r="E32" s="1207"/>
      <c r="F32" s="1200"/>
      <c r="G32" s="1207"/>
      <c r="H32" s="1207"/>
      <c r="I32" s="1207"/>
      <c r="J32" s="1207"/>
      <c r="K32" s="1207"/>
      <c r="L32" s="1207"/>
      <c r="M32" s="1207"/>
      <c r="O32" s="497"/>
      <c r="P32" s="497"/>
      <c r="Q32" s="497"/>
      <c r="R32" s="497"/>
      <c r="S32" s="497"/>
      <c r="T32" s="497"/>
      <c r="U32" s="497"/>
      <c r="V32" s="497"/>
      <c r="W32" s="497"/>
      <c r="X32" s="497"/>
      <c r="Y32" s="497"/>
    </row>
    <row r="33" spans="1:25" ht="17.5">
      <c r="A33" s="1187">
        <f>A32+1</f>
        <v>16</v>
      </c>
      <c r="B33" s="1188"/>
      <c r="C33" s="575"/>
      <c r="D33" s="1188"/>
      <c r="E33" s="1206"/>
      <c r="F33" s="1200"/>
      <c r="G33" s="1206"/>
      <c r="H33" s="1206"/>
      <c r="I33" s="1206"/>
      <c r="J33" s="1206"/>
      <c r="K33" s="1206"/>
      <c r="L33" s="1206"/>
      <c r="M33" s="1206">
        <f>+E33</f>
        <v>0</v>
      </c>
      <c r="O33" s="497"/>
      <c r="P33" s="497"/>
      <c r="Q33" s="497"/>
      <c r="R33" s="497"/>
      <c r="S33" s="497"/>
      <c r="T33" s="497"/>
      <c r="U33" s="497"/>
      <c r="V33" s="497"/>
      <c r="W33" s="497"/>
      <c r="X33" s="497"/>
      <c r="Y33" s="497"/>
    </row>
    <row r="34" spans="1:25" ht="17.5">
      <c r="A34" s="1187">
        <f>A33+1</f>
        <v>17</v>
      </c>
      <c r="B34" s="1188"/>
      <c r="C34" s="575"/>
      <c r="D34" s="1188"/>
      <c r="E34" s="1206"/>
      <c r="F34" s="1200"/>
      <c r="G34" s="1206"/>
      <c r="H34" s="1206"/>
      <c r="I34" s="1206"/>
      <c r="J34" s="1206"/>
      <c r="K34" s="1206"/>
      <c r="L34" s="1206"/>
      <c r="M34" s="1206"/>
      <c r="O34" s="497"/>
      <c r="P34" s="497"/>
      <c r="Q34" s="497"/>
      <c r="R34" s="497"/>
      <c r="S34" s="497"/>
      <c r="T34" s="497"/>
      <c r="U34" s="497"/>
      <c r="V34" s="497"/>
      <c r="W34" s="497"/>
      <c r="X34" s="497"/>
      <c r="Y34" s="497"/>
    </row>
    <row r="35" spans="1:25" ht="17.5">
      <c r="A35" s="1187">
        <f>+A34+1</f>
        <v>18</v>
      </c>
      <c r="B35" s="1188"/>
      <c r="C35" s="575"/>
      <c r="D35" s="1188"/>
      <c r="E35" s="1206"/>
      <c r="F35" s="1200"/>
      <c r="G35" s="1206"/>
      <c r="H35" s="1206"/>
      <c r="I35" s="1206"/>
      <c r="J35" s="1206"/>
      <c r="K35" s="1206"/>
      <c r="L35" s="1206"/>
      <c r="M35" s="1206"/>
      <c r="O35" s="497"/>
      <c r="P35" s="497"/>
      <c r="Q35" s="497"/>
      <c r="R35" s="497"/>
      <c r="S35" s="497"/>
      <c r="T35" s="497"/>
      <c r="U35" s="497"/>
      <c r="V35" s="497"/>
      <c r="W35" s="497"/>
      <c r="X35" s="497"/>
      <c r="Y35" s="497"/>
    </row>
    <row r="36" spans="1:25" ht="17.5">
      <c r="A36" s="1187"/>
      <c r="B36" s="1188"/>
      <c r="C36" s="1200"/>
      <c r="D36" s="1188"/>
      <c r="E36" s="1207"/>
      <c r="F36" s="1200"/>
      <c r="G36" s="1207"/>
      <c r="H36" s="1207"/>
      <c r="I36" s="1207"/>
      <c r="J36" s="1207"/>
      <c r="K36" s="1207"/>
      <c r="L36" s="1207"/>
      <c r="M36" s="1207"/>
      <c r="O36" s="497"/>
      <c r="P36" s="497"/>
      <c r="Q36" s="497"/>
      <c r="R36" s="497"/>
      <c r="S36" s="497"/>
      <c r="T36" s="497"/>
      <c r="U36" s="497"/>
      <c r="V36" s="497"/>
      <c r="W36" s="497"/>
      <c r="X36" s="497"/>
      <c r="Y36" s="497"/>
    </row>
    <row r="37" spans="1:25" ht="17.5">
      <c r="A37" s="1211">
        <f>+A35+1</f>
        <v>19</v>
      </c>
      <c r="B37" s="1212"/>
      <c r="C37" s="1204" t="s">
        <v>393</v>
      </c>
      <c r="D37" s="1213"/>
      <c r="E37" s="1207"/>
      <c r="F37" s="1200"/>
      <c r="G37" s="1207"/>
      <c r="H37" s="1207"/>
      <c r="I37" s="1207"/>
      <c r="J37" s="1207"/>
      <c r="K37" s="1207"/>
      <c r="L37" s="1207"/>
      <c r="M37" s="1207"/>
    </row>
    <row r="38" spans="1:25" ht="17.5">
      <c r="A38" s="1211">
        <f t="shared" ref="A38:A47" si="0">A37+1</f>
        <v>20</v>
      </c>
      <c r="B38" s="1212"/>
      <c r="C38" s="1214" t="s">
        <v>1022</v>
      </c>
      <c r="D38" s="1188"/>
      <c r="E38" s="1206">
        <v>-146.69</v>
      </c>
      <c r="F38" s="1200"/>
      <c r="G38" s="1206"/>
      <c r="H38" s="1206"/>
      <c r="I38" s="1206"/>
      <c r="J38" s="1206"/>
      <c r="K38" s="1206">
        <f>+E38</f>
        <v>-146.69</v>
      </c>
      <c r="L38" s="1206"/>
      <c r="M38" s="1206"/>
    </row>
    <row r="39" spans="1:25" ht="17.5">
      <c r="A39" s="1211">
        <f t="shared" si="0"/>
        <v>21</v>
      </c>
      <c r="B39" s="1212"/>
      <c r="C39" s="1214" t="s">
        <v>1023</v>
      </c>
      <c r="D39" s="1188"/>
      <c r="E39" s="1206">
        <v>20000</v>
      </c>
      <c r="F39" s="1200"/>
      <c r="G39" s="1206"/>
      <c r="H39" s="1206"/>
      <c r="I39" s="1206"/>
      <c r="J39" s="1206"/>
      <c r="K39" s="1206">
        <f>+E39</f>
        <v>20000</v>
      </c>
      <c r="L39" s="1206"/>
      <c r="M39" s="1206"/>
      <c r="O39" s="132"/>
    </row>
    <row r="40" spans="1:25" ht="17.5">
      <c r="A40" s="1211">
        <f t="shared" si="0"/>
        <v>22</v>
      </c>
      <c r="B40" s="1212"/>
      <c r="C40" s="1209" t="s">
        <v>1076</v>
      </c>
      <c r="D40" s="1188"/>
      <c r="E40" s="1206">
        <v>354</v>
      </c>
      <c r="F40" s="1200"/>
      <c r="G40" s="1206"/>
      <c r="H40" s="1206"/>
      <c r="I40" s="1206"/>
      <c r="J40" s="1206"/>
      <c r="K40" s="1206">
        <f>+E40</f>
        <v>354</v>
      </c>
      <c r="L40" s="1206"/>
      <c r="M40" s="1206"/>
      <c r="O40" s="132"/>
    </row>
    <row r="41" spans="1:25" ht="17.5">
      <c r="A41" s="1211">
        <f t="shared" si="0"/>
        <v>23</v>
      </c>
      <c r="B41" s="1212"/>
      <c r="C41" s="1209"/>
      <c r="D41" s="1188"/>
      <c r="E41" s="1206"/>
      <c r="F41" s="1200"/>
      <c r="G41" s="1206"/>
      <c r="H41" s="1206"/>
      <c r="I41" s="1206"/>
      <c r="J41" s="1206"/>
      <c r="K41" s="1206"/>
      <c r="L41" s="1206"/>
      <c r="M41" s="1206"/>
      <c r="O41" s="132"/>
    </row>
    <row r="42" spans="1:25" ht="17.5">
      <c r="A42" s="1211">
        <f t="shared" si="0"/>
        <v>24</v>
      </c>
      <c r="B42" s="1212"/>
      <c r="C42" s="1209"/>
      <c r="D42" s="1188"/>
      <c r="E42" s="1206"/>
      <c r="F42" s="1200"/>
      <c r="G42" s="1206"/>
      <c r="H42" s="1206"/>
      <c r="I42" s="1206"/>
      <c r="J42" s="1206"/>
      <c r="K42" s="1206"/>
      <c r="L42" s="1206"/>
      <c r="M42" s="1206"/>
    </row>
    <row r="43" spans="1:25" ht="17.5">
      <c r="A43" s="1211">
        <f t="shared" si="0"/>
        <v>25</v>
      </c>
      <c r="B43" s="1212"/>
      <c r="C43" s="1209"/>
      <c r="D43" s="1188"/>
      <c r="E43" s="1206"/>
      <c r="F43" s="1200"/>
      <c r="G43" s="1206"/>
      <c r="H43" s="1206"/>
      <c r="I43" s="1206"/>
      <c r="J43" s="1206"/>
      <c r="K43" s="1206"/>
      <c r="L43" s="1206"/>
      <c r="M43" s="1206"/>
    </row>
    <row r="44" spans="1:25" ht="17.5">
      <c r="A44" s="1211">
        <f t="shared" si="0"/>
        <v>26</v>
      </c>
      <c r="B44" s="1212"/>
      <c r="C44" s="1209"/>
      <c r="D44" s="1188"/>
      <c r="E44" s="1206"/>
      <c r="F44" s="1200"/>
      <c r="G44" s="1206"/>
      <c r="H44" s="1206"/>
      <c r="I44" s="1206"/>
      <c r="J44" s="1206"/>
      <c r="K44" s="1206"/>
      <c r="L44" s="1206"/>
      <c r="M44" s="1206"/>
    </row>
    <row r="45" spans="1:25" ht="17.5">
      <c r="A45" s="1211">
        <f t="shared" si="0"/>
        <v>27</v>
      </c>
      <c r="B45" s="1212"/>
      <c r="C45" s="1209"/>
      <c r="D45" s="1188"/>
      <c r="E45" s="1206"/>
      <c r="F45" s="1200"/>
      <c r="G45" s="1206"/>
      <c r="H45" s="1206"/>
      <c r="I45" s="1206"/>
      <c r="J45" s="1206"/>
      <c r="K45" s="1206"/>
      <c r="L45" s="1206"/>
      <c r="M45" s="1206"/>
      <c r="O45" s="132"/>
    </row>
    <row r="46" spans="1:25" ht="17.5">
      <c r="A46" s="1211">
        <f t="shared" si="0"/>
        <v>28</v>
      </c>
      <c r="B46" s="1188"/>
      <c r="C46" s="1209"/>
      <c r="D46" s="1188"/>
      <c r="E46" s="1206"/>
      <c r="F46" s="1200"/>
      <c r="G46" s="1206"/>
      <c r="H46" s="1206"/>
      <c r="I46" s="1206"/>
      <c r="J46" s="1206"/>
      <c r="K46" s="1206"/>
      <c r="L46" s="1206"/>
      <c r="M46" s="1206"/>
      <c r="O46" s="132"/>
    </row>
    <row r="47" spans="1:25" ht="17.5">
      <c r="A47" s="1211">
        <f t="shared" si="0"/>
        <v>29</v>
      </c>
      <c r="B47" s="1188"/>
      <c r="C47" s="1209"/>
      <c r="D47" s="1188"/>
      <c r="E47" s="1206"/>
      <c r="F47" s="1200"/>
      <c r="G47" s="1206"/>
      <c r="H47" s="1206"/>
      <c r="I47" s="1206"/>
      <c r="J47" s="1206"/>
      <c r="K47" s="1206"/>
      <c r="L47" s="1206"/>
      <c r="M47" s="1206"/>
      <c r="O47" s="132"/>
    </row>
    <row r="48" spans="1:25" ht="17.5">
      <c r="A48" s="1187">
        <f>A47+1</f>
        <v>30</v>
      </c>
      <c r="B48" s="1188"/>
      <c r="C48" s="1209"/>
      <c r="D48" s="1188"/>
      <c r="E48" s="1206"/>
      <c r="F48" s="1200"/>
      <c r="G48" s="1206"/>
      <c r="H48" s="1206"/>
      <c r="I48" s="1206"/>
      <c r="J48" s="1206"/>
      <c r="K48" s="1206"/>
      <c r="L48" s="1206"/>
      <c r="M48" s="1206"/>
      <c r="O48" s="132"/>
    </row>
    <row r="49" spans="1:15" ht="17.5">
      <c r="A49" s="1187">
        <f>A48+1</f>
        <v>31</v>
      </c>
      <c r="B49" s="1188"/>
      <c r="C49" s="1209"/>
      <c r="D49" s="1188"/>
      <c r="E49" s="1206"/>
      <c r="F49" s="1200"/>
      <c r="G49" s="1206"/>
      <c r="H49" s="1206"/>
      <c r="I49" s="1206"/>
      <c r="J49" s="1206"/>
      <c r="K49" s="1206"/>
      <c r="L49" s="1206"/>
      <c r="M49" s="1206"/>
      <c r="O49" s="132"/>
    </row>
    <row r="50" spans="1:15" ht="17.5">
      <c r="A50" s="1187">
        <f>A49+1</f>
        <v>32</v>
      </c>
      <c r="B50" s="1200"/>
      <c r="C50" s="1206"/>
      <c r="D50" s="1188"/>
      <c r="E50" s="1206"/>
      <c r="F50" s="1200"/>
      <c r="G50" s="1206"/>
      <c r="H50" s="1206"/>
      <c r="I50" s="1206"/>
      <c r="J50" s="1206"/>
      <c r="K50" s="1206"/>
      <c r="L50" s="1206"/>
      <c r="M50" s="1206"/>
      <c r="O50" s="132"/>
    </row>
    <row r="51" spans="1:15" ht="17.5">
      <c r="A51" s="1187">
        <f>+A50+1</f>
        <v>33</v>
      </c>
      <c r="B51" s="1200"/>
      <c r="C51" s="1210"/>
      <c r="D51" s="1188"/>
      <c r="E51" s="1210"/>
      <c r="F51" s="1203"/>
      <c r="G51" s="1206"/>
      <c r="H51" s="1206"/>
      <c r="I51" s="1206"/>
      <c r="J51" s="1206"/>
      <c r="K51" s="1206"/>
      <c r="L51" s="1206"/>
      <c r="M51" s="1210"/>
      <c r="O51" s="132"/>
    </row>
    <row r="52" spans="1:15" ht="17.5">
      <c r="A52" s="1187">
        <f>+A51+1</f>
        <v>34</v>
      </c>
      <c r="B52" s="1200"/>
      <c r="C52" s="1206"/>
      <c r="D52" s="1188"/>
      <c r="E52" s="1206"/>
      <c r="F52" s="1200"/>
      <c r="G52" s="1206"/>
      <c r="H52" s="1206"/>
      <c r="I52" s="1206"/>
      <c r="J52" s="1206"/>
      <c r="K52" s="1206"/>
      <c r="L52" s="1206"/>
      <c r="M52" s="1206"/>
    </row>
    <row r="53" spans="1:15" ht="16.5">
      <c r="A53" s="497"/>
      <c r="B53" s="497"/>
      <c r="C53" s="497"/>
      <c r="D53" s="497"/>
      <c r="E53" s="497"/>
      <c r="F53" s="1200"/>
      <c r="H53" s="1215"/>
      <c r="I53" s="1216"/>
      <c r="J53" s="1216"/>
      <c r="K53" s="1217"/>
      <c r="L53" s="1218"/>
      <c r="M53" s="1218"/>
    </row>
    <row r="54" spans="1:15" ht="18" thickBot="1">
      <c r="A54" s="1211">
        <f>+A52+1</f>
        <v>35</v>
      </c>
      <c r="B54" s="497"/>
      <c r="C54" s="1200" t="s">
        <v>392</v>
      </c>
      <c r="D54" s="497"/>
      <c r="E54" s="1219">
        <f>SUM(E16:E52)</f>
        <v>9890576.3100000005</v>
      </c>
      <c r="F54" s="1200"/>
      <c r="G54" s="1219">
        <f>SUM(G16:G52)</f>
        <v>9870369</v>
      </c>
      <c r="H54" s="1215"/>
      <c r="I54" s="1219">
        <f>SUM(I16:I52)</f>
        <v>0</v>
      </c>
      <c r="J54" s="1216"/>
      <c r="K54" s="1219">
        <f>SUM(K16:K52)</f>
        <v>20207.310000000001</v>
      </c>
      <c r="L54" s="1218"/>
      <c r="M54" s="1219">
        <f>SUM(M16:M52)</f>
        <v>0</v>
      </c>
    </row>
    <row r="55" spans="1:15" ht="30" customHeight="1" thickTop="1">
      <c r="A55" s="497"/>
      <c r="B55" s="497"/>
      <c r="C55" s="1220" t="s">
        <v>139</v>
      </c>
      <c r="D55" s="1221"/>
      <c r="E55" s="1222"/>
      <c r="F55" s="1220"/>
      <c r="G55" s="1223"/>
      <c r="H55" s="1223"/>
      <c r="J55" s="1224"/>
      <c r="K55" s="1225"/>
      <c r="L55" s="1225"/>
      <c r="M55" s="1226" t="str">
        <f>IF(SUM(G54:M54)=E54,"","Error - allocations don’t match total")</f>
        <v/>
      </c>
    </row>
    <row r="57" spans="1:15" ht="13">
      <c r="C57" s="1228" t="str">
        <f>"NOTE:  As a check, the difference between the total from Ln "&amp;A54&amp;" above and the total on FF1 p.263 line 41(i)"</f>
        <v>NOTE:  As a check, the difference between the total from Ln 35 above and the total on FF1 p.263 line 41(i)</v>
      </c>
    </row>
    <row r="58" spans="1:15" ht="13">
      <c r="C58" s="1228" t="s">
        <v>118</v>
      </c>
    </row>
    <row r="60" spans="1:15">
      <c r="I60" s="1185"/>
    </row>
    <row r="188" spans="7:7" ht="13" thickBot="1"/>
    <row r="189" spans="7:7" ht="17" thickBot="1">
      <c r="G189" s="1229" t="e">
        <f>IF(#REF!&lt;&gt;0,+#REF!/#REF!*#REF!,0)</f>
        <v>#REF!</v>
      </c>
    </row>
  </sheetData>
  <mergeCells count="6">
    <mergeCell ref="A7:M7"/>
    <mergeCell ref="A6:M6"/>
    <mergeCell ref="A2:M2"/>
    <mergeCell ref="A3:M3"/>
    <mergeCell ref="A4:M4"/>
    <mergeCell ref="A5:M5"/>
  </mergeCells>
  <phoneticPr fontId="60" type="noConversion"/>
  <printOptions horizontalCentered="1"/>
  <pageMargins left="0.75" right="0.75" top="1" bottom="0.25" header="0.65" footer="0.5"/>
  <pageSetup scale="25" orientation="portrait" horizontalDpi="1200" verticalDpi="1200" r:id="rId1"/>
  <headerFooter alignWithMargins="0">
    <oddHeader xml:space="preserve">&amp;R&amp;12AEP - SPP Transco Formula Rate
TCOS - WS L
Page: &amp;P of &amp;N&amp;16
</oddHeader>
  </headerFooter>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7"/>
  <sheetViews>
    <sheetView zoomScale="90" zoomScaleNormal="90" zoomScaleSheetLayoutView="80" zoomScalePageLayoutView="85" workbookViewId="0">
      <selection activeCell="E54" sqref="E54"/>
    </sheetView>
  </sheetViews>
  <sheetFormatPr defaultColWidth="11.453125" defaultRowHeight="13"/>
  <cols>
    <col min="1" max="1" width="10.26953125" style="1265" customWidth="1"/>
    <col min="2" max="2" width="52.26953125" style="1230" customWidth="1"/>
    <col min="3" max="7" width="20.26953125" style="1230" customWidth="1"/>
    <col min="8" max="8" width="23" style="1230" customWidth="1"/>
    <col min="9" max="11" width="20.26953125" style="1230" customWidth="1"/>
    <col min="12" max="12" width="20" style="1230" customWidth="1"/>
    <col min="13" max="14" width="15.1796875" style="1230" customWidth="1"/>
    <col min="15" max="256" width="11.453125" style="1230"/>
    <col min="257" max="257" width="10.26953125" style="1230" customWidth="1"/>
    <col min="258" max="258" width="52.26953125" style="1230" customWidth="1"/>
    <col min="259" max="263" width="20.26953125" style="1230" customWidth="1"/>
    <col min="264" max="264" width="23" style="1230" customWidth="1"/>
    <col min="265" max="267" width="20.26953125" style="1230" customWidth="1"/>
    <col min="268" max="268" width="20" style="1230" customWidth="1"/>
    <col min="269" max="270" width="15.1796875" style="1230" customWidth="1"/>
    <col min="271" max="512" width="11.453125" style="1230"/>
    <col min="513" max="513" width="10.26953125" style="1230" customWidth="1"/>
    <col min="514" max="514" width="52.26953125" style="1230" customWidth="1"/>
    <col min="515" max="519" width="20.26953125" style="1230" customWidth="1"/>
    <col min="520" max="520" width="23" style="1230" customWidth="1"/>
    <col min="521" max="523" width="20.26953125" style="1230" customWidth="1"/>
    <col min="524" max="524" width="20" style="1230" customWidth="1"/>
    <col min="525" max="526" width="15.1796875" style="1230" customWidth="1"/>
    <col min="527" max="768" width="11.453125" style="1230"/>
    <col min="769" max="769" width="10.26953125" style="1230" customWidth="1"/>
    <col min="770" max="770" width="52.26953125" style="1230" customWidth="1"/>
    <col min="771" max="775" width="20.26953125" style="1230" customWidth="1"/>
    <col min="776" max="776" width="23" style="1230" customWidth="1"/>
    <col min="777" max="779" width="20.26953125" style="1230" customWidth="1"/>
    <col min="780" max="780" width="20" style="1230" customWidth="1"/>
    <col min="781" max="782" width="15.1796875" style="1230" customWidth="1"/>
    <col min="783" max="1024" width="11.453125" style="1230"/>
    <col min="1025" max="1025" width="10.26953125" style="1230" customWidth="1"/>
    <col min="1026" max="1026" width="52.26953125" style="1230" customWidth="1"/>
    <col min="1027" max="1031" width="20.26953125" style="1230" customWidth="1"/>
    <col min="1032" max="1032" width="23" style="1230" customWidth="1"/>
    <col min="1033" max="1035" width="20.26953125" style="1230" customWidth="1"/>
    <col min="1036" max="1036" width="20" style="1230" customWidth="1"/>
    <col min="1037" max="1038" width="15.1796875" style="1230" customWidth="1"/>
    <col min="1039" max="1280" width="11.453125" style="1230"/>
    <col min="1281" max="1281" width="10.26953125" style="1230" customWidth="1"/>
    <col min="1282" max="1282" width="52.26953125" style="1230" customWidth="1"/>
    <col min="1283" max="1287" width="20.26953125" style="1230" customWidth="1"/>
    <col min="1288" max="1288" width="23" style="1230" customWidth="1"/>
    <col min="1289" max="1291" width="20.26953125" style="1230" customWidth="1"/>
    <col min="1292" max="1292" width="20" style="1230" customWidth="1"/>
    <col min="1293" max="1294" width="15.1796875" style="1230" customWidth="1"/>
    <col min="1295" max="1536" width="11.453125" style="1230"/>
    <col min="1537" max="1537" width="10.26953125" style="1230" customWidth="1"/>
    <col min="1538" max="1538" width="52.26953125" style="1230" customWidth="1"/>
    <col min="1539" max="1543" width="20.26953125" style="1230" customWidth="1"/>
    <col min="1544" max="1544" width="23" style="1230" customWidth="1"/>
    <col min="1545" max="1547" width="20.26953125" style="1230" customWidth="1"/>
    <col min="1548" max="1548" width="20" style="1230" customWidth="1"/>
    <col min="1549" max="1550" width="15.1796875" style="1230" customWidth="1"/>
    <col min="1551" max="1792" width="11.453125" style="1230"/>
    <col min="1793" max="1793" width="10.26953125" style="1230" customWidth="1"/>
    <col min="1794" max="1794" width="52.26953125" style="1230" customWidth="1"/>
    <col min="1795" max="1799" width="20.26953125" style="1230" customWidth="1"/>
    <col min="1800" max="1800" width="23" style="1230" customWidth="1"/>
    <col min="1801" max="1803" width="20.26953125" style="1230" customWidth="1"/>
    <col min="1804" max="1804" width="20" style="1230" customWidth="1"/>
    <col min="1805" max="1806" width="15.1796875" style="1230" customWidth="1"/>
    <col min="1807" max="2048" width="11.453125" style="1230"/>
    <col min="2049" max="2049" width="10.26953125" style="1230" customWidth="1"/>
    <col min="2050" max="2050" width="52.26953125" style="1230" customWidth="1"/>
    <col min="2051" max="2055" width="20.26953125" style="1230" customWidth="1"/>
    <col min="2056" max="2056" width="23" style="1230" customWidth="1"/>
    <col min="2057" max="2059" width="20.26953125" style="1230" customWidth="1"/>
    <col min="2060" max="2060" width="20" style="1230" customWidth="1"/>
    <col min="2061" max="2062" width="15.1796875" style="1230" customWidth="1"/>
    <col min="2063" max="2304" width="11.453125" style="1230"/>
    <col min="2305" max="2305" width="10.26953125" style="1230" customWidth="1"/>
    <col min="2306" max="2306" width="52.26953125" style="1230" customWidth="1"/>
    <col min="2307" max="2311" width="20.26953125" style="1230" customWidth="1"/>
    <col min="2312" max="2312" width="23" style="1230" customWidth="1"/>
    <col min="2313" max="2315" width="20.26953125" style="1230" customWidth="1"/>
    <col min="2316" max="2316" width="20" style="1230" customWidth="1"/>
    <col min="2317" max="2318" width="15.1796875" style="1230" customWidth="1"/>
    <col min="2319" max="2560" width="11.453125" style="1230"/>
    <col min="2561" max="2561" width="10.26953125" style="1230" customWidth="1"/>
    <col min="2562" max="2562" width="52.26953125" style="1230" customWidth="1"/>
    <col min="2563" max="2567" width="20.26953125" style="1230" customWidth="1"/>
    <col min="2568" max="2568" width="23" style="1230" customWidth="1"/>
    <col min="2569" max="2571" width="20.26953125" style="1230" customWidth="1"/>
    <col min="2572" max="2572" width="20" style="1230" customWidth="1"/>
    <col min="2573" max="2574" width="15.1796875" style="1230" customWidth="1"/>
    <col min="2575" max="2816" width="11.453125" style="1230"/>
    <col min="2817" max="2817" width="10.26953125" style="1230" customWidth="1"/>
    <col min="2818" max="2818" width="52.26953125" style="1230" customWidth="1"/>
    <col min="2819" max="2823" width="20.26953125" style="1230" customWidth="1"/>
    <col min="2824" max="2824" width="23" style="1230" customWidth="1"/>
    <col min="2825" max="2827" width="20.26953125" style="1230" customWidth="1"/>
    <col min="2828" max="2828" width="20" style="1230" customWidth="1"/>
    <col min="2829" max="2830" width="15.1796875" style="1230" customWidth="1"/>
    <col min="2831" max="3072" width="11.453125" style="1230"/>
    <col min="3073" max="3073" width="10.26953125" style="1230" customWidth="1"/>
    <col min="3074" max="3074" width="52.26953125" style="1230" customWidth="1"/>
    <col min="3075" max="3079" width="20.26953125" style="1230" customWidth="1"/>
    <col min="3080" max="3080" width="23" style="1230" customWidth="1"/>
    <col min="3081" max="3083" width="20.26953125" style="1230" customWidth="1"/>
    <col min="3084" max="3084" width="20" style="1230" customWidth="1"/>
    <col min="3085" max="3086" width="15.1796875" style="1230" customWidth="1"/>
    <col min="3087" max="3328" width="11.453125" style="1230"/>
    <col min="3329" max="3329" width="10.26953125" style="1230" customWidth="1"/>
    <col min="3330" max="3330" width="52.26953125" style="1230" customWidth="1"/>
    <col min="3331" max="3335" width="20.26953125" style="1230" customWidth="1"/>
    <col min="3336" max="3336" width="23" style="1230" customWidth="1"/>
    <col min="3337" max="3339" width="20.26953125" style="1230" customWidth="1"/>
    <col min="3340" max="3340" width="20" style="1230" customWidth="1"/>
    <col min="3341" max="3342" width="15.1796875" style="1230" customWidth="1"/>
    <col min="3343" max="3584" width="11.453125" style="1230"/>
    <col min="3585" max="3585" width="10.26953125" style="1230" customWidth="1"/>
    <col min="3586" max="3586" width="52.26953125" style="1230" customWidth="1"/>
    <col min="3587" max="3591" width="20.26953125" style="1230" customWidth="1"/>
    <col min="3592" max="3592" width="23" style="1230" customWidth="1"/>
    <col min="3593" max="3595" width="20.26953125" style="1230" customWidth="1"/>
    <col min="3596" max="3596" width="20" style="1230" customWidth="1"/>
    <col min="3597" max="3598" width="15.1796875" style="1230" customWidth="1"/>
    <col min="3599" max="3840" width="11.453125" style="1230"/>
    <col min="3841" max="3841" width="10.26953125" style="1230" customWidth="1"/>
    <col min="3842" max="3842" width="52.26953125" style="1230" customWidth="1"/>
    <col min="3843" max="3847" width="20.26953125" style="1230" customWidth="1"/>
    <col min="3848" max="3848" width="23" style="1230" customWidth="1"/>
    <col min="3849" max="3851" width="20.26953125" style="1230" customWidth="1"/>
    <col min="3852" max="3852" width="20" style="1230" customWidth="1"/>
    <col min="3853" max="3854" width="15.1796875" style="1230" customWidth="1"/>
    <col min="3855" max="4096" width="11.453125" style="1230"/>
    <col min="4097" max="4097" width="10.26953125" style="1230" customWidth="1"/>
    <col min="4098" max="4098" width="52.26953125" style="1230" customWidth="1"/>
    <col min="4099" max="4103" width="20.26953125" style="1230" customWidth="1"/>
    <col min="4104" max="4104" width="23" style="1230" customWidth="1"/>
    <col min="4105" max="4107" width="20.26953125" style="1230" customWidth="1"/>
    <col min="4108" max="4108" width="20" style="1230" customWidth="1"/>
    <col min="4109" max="4110" width="15.1796875" style="1230" customWidth="1"/>
    <col min="4111" max="4352" width="11.453125" style="1230"/>
    <col min="4353" max="4353" width="10.26953125" style="1230" customWidth="1"/>
    <col min="4354" max="4354" width="52.26953125" style="1230" customWidth="1"/>
    <col min="4355" max="4359" width="20.26953125" style="1230" customWidth="1"/>
    <col min="4360" max="4360" width="23" style="1230" customWidth="1"/>
    <col min="4361" max="4363" width="20.26953125" style="1230" customWidth="1"/>
    <col min="4364" max="4364" width="20" style="1230" customWidth="1"/>
    <col min="4365" max="4366" width="15.1796875" style="1230" customWidth="1"/>
    <col min="4367" max="4608" width="11.453125" style="1230"/>
    <col min="4609" max="4609" width="10.26953125" style="1230" customWidth="1"/>
    <col min="4610" max="4610" width="52.26953125" style="1230" customWidth="1"/>
    <col min="4611" max="4615" width="20.26953125" style="1230" customWidth="1"/>
    <col min="4616" max="4616" width="23" style="1230" customWidth="1"/>
    <col min="4617" max="4619" width="20.26953125" style="1230" customWidth="1"/>
    <col min="4620" max="4620" width="20" style="1230" customWidth="1"/>
    <col min="4621" max="4622" width="15.1796875" style="1230" customWidth="1"/>
    <col min="4623" max="4864" width="11.453125" style="1230"/>
    <col min="4865" max="4865" width="10.26953125" style="1230" customWidth="1"/>
    <col min="4866" max="4866" width="52.26953125" style="1230" customWidth="1"/>
    <col min="4867" max="4871" width="20.26953125" style="1230" customWidth="1"/>
    <col min="4872" max="4872" width="23" style="1230" customWidth="1"/>
    <col min="4873" max="4875" width="20.26953125" style="1230" customWidth="1"/>
    <col min="4876" max="4876" width="20" style="1230" customWidth="1"/>
    <col min="4877" max="4878" width="15.1796875" style="1230" customWidth="1"/>
    <col min="4879" max="5120" width="11.453125" style="1230"/>
    <col min="5121" max="5121" width="10.26953125" style="1230" customWidth="1"/>
    <col min="5122" max="5122" width="52.26953125" style="1230" customWidth="1"/>
    <col min="5123" max="5127" width="20.26953125" style="1230" customWidth="1"/>
    <col min="5128" max="5128" width="23" style="1230" customWidth="1"/>
    <col min="5129" max="5131" width="20.26953125" style="1230" customWidth="1"/>
    <col min="5132" max="5132" width="20" style="1230" customWidth="1"/>
    <col min="5133" max="5134" width="15.1796875" style="1230" customWidth="1"/>
    <col min="5135" max="5376" width="11.453125" style="1230"/>
    <col min="5377" max="5377" width="10.26953125" style="1230" customWidth="1"/>
    <col min="5378" max="5378" width="52.26953125" style="1230" customWidth="1"/>
    <col min="5379" max="5383" width="20.26953125" style="1230" customWidth="1"/>
    <col min="5384" max="5384" width="23" style="1230" customWidth="1"/>
    <col min="5385" max="5387" width="20.26953125" style="1230" customWidth="1"/>
    <col min="5388" max="5388" width="20" style="1230" customWidth="1"/>
    <col min="5389" max="5390" width="15.1796875" style="1230" customWidth="1"/>
    <col min="5391" max="5632" width="11.453125" style="1230"/>
    <col min="5633" max="5633" width="10.26953125" style="1230" customWidth="1"/>
    <col min="5634" max="5634" width="52.26953125" style="1230" customWidth="1"/>
    <col min="5635" max="5639" width="20.26953125" style="1230" customWidth="1"/>
    <col min="5640" max="5640" width="23" style="1230" customWidth="1"/>
    <col min="5641" max="5643" width="20.26953125" style="1230" customWidth="1"/>
    <col min="5644" max="5644" width="20" style="1230" customWidth="1"/>
    <col min="5645" max="5646" width="15.1796875" style="1230" customWidth="1"/>
    <col min="5647" max="5888" width="11.453125" style="1230"/>
    <col min="5889" max="5889" width="10.26953125" style="1230" customWidth="1"/>
    <col min="5890" max="5890" width="52.26953125" style="1230" customWidth="1"/>
    <col min="5891" max="5895" width="20.26953125" style="1230" customWidth="1"/>
    <col min="5896" max="5896" width="23" style="1230" customWidth="1"/>
    <col min="5897" max="5899" width="20.26953125" style="1230" customWidth="1"/>
    <col min="5900" max="5900" width="20" style="1230" customWidth="1"/>
    <col min="5901" max="5902" width="15.1796875" style="1230" customWidth="1"/>
    <col min="5903" max="6144" width="11.453125" style="1230"/>
    <col min="6145" max="6145" width="10.26953125" style="1230" customWidth="1"/>
    <col min="6146" max="6146" width="52.26953125" style="1230" customWidth="1"/>
    <col min="6147" max="6151" width="20.26953125" style="1230" customWidth="1"/>
    <col min="6152" max="6152" width="23" style="1230" customWidth="1"/>
    <col min="6153" max="6155" width="20.26953125" style="1230" customWidth="1"/>
    <col min="6156" max="6156" width="20" style="1230" customWidth="1"/>
    <col min="6157" max="6158" width="15.1796875" style="1230" customWidth="1"/>
    <col min="6159" max="6400" width="11.453125" style="1230"/>
    <col min="6401" max="6401" width="10.26953125" style="1230" customWidth="1"/>
    <col min="6402" max="6402" width="52.26953125" style="1230" customWidth="1"/>
    <col min="6403" max="6407" width="20.26953125" style="1230" customWidth="1"/>
    <col min="6408" max="6408" width="23" style="1230" customWidth="1"/>
    <col min="6409" max="6411" width="20.26953125" style="1230" customWidth="1"/>
    <col min="6412" max="6412" width="20" style="1230" customWidth="1"/>
    <col min="6413" max="6414" width="15.1796875" style="1230" customWidth="1"/>
    <col min="6415" max="6656" width="11.453125" style="1230"/>
    <col min="6657" max="6657" width="10.26953125" style="1230" customWidth="1"/>
    <col min="6658" max="6658" width="52.26953125" style="1230" customWidth="1"/>
    <col min="6659" max="6663" width="20.26953125" style="1230" customWidth="1"/>
    <col min="6664" max="6664" width="23" style="1230" customWidth="1"/>
    <col min="6665" max="6667" width="20.26953125" style="1230" customWidth="1"/>
    <col min="6668" max="6668" width="20" style="1230" customWidth="1"/>
    <col min="6669" max="6670" width="15.1796875" style="1230" customWidth="1"/>
    <col min="6671" max="6912" width="11.453125" style="1230"/>
    <col min="6913" max="6913" width="10.26953125" style="1230" customWidth="1"/>
    <col min="6914" max="6914" width="52.26953125" style="1230" customWidth="1"/>
    <col min="6915" max="6919" width="20.26953125" style="1230" customWidth="1"/>
    <col min="6920" max="6920" width="23" style="1230" customWidth="1"/>
    <col min="6921" max="6923" width="20.26953125" style="1230" customWidth="1"/>
    <col min="6924" max="6924" width="20" style="1230" customWidth="1"/>
    <col min="6925" max="6926" width="15.1796875" style="1230" customWidth="1"/>
    <col min="6927" max="7168" width="11.453125" style="1230"/>
    <col min="7169" max="7169" width="10.26953125" style="1230" customWidth="1"/>
    <col min="7170" max="7170" width="52.26953125" style="1230" customWidth="1"/>
    <col min="7171" max="7175" width="20.26953125" style="1230" customWidth="1"/>
    <col min="7176" max="7176" width="23" style="1230" customWidth="1"/>
    <col min="7177" max="7179" width="20.26953125" style="1230" customWidth="1"/>
    <col min="7180" max="7180" width="20" style="1230" customWidth="1"/>
    <col min="7181" max="7182" width="15.1796875" style="1230" customWidth="1"/>
    <col min="7183" max="7424" width="11.453125" style="1230"/>
    <col min="7425" max="7425" width="10.26953125" style="1230" customWidth="1"/>
    <col min="7426" max="7426" width="52.26953125" style="1230" customWidth="1"/>
    <col min="7427" max="7431" width="20.26953125" style="1230" customWidth="1"/>
    <col min="7432" max="7432" width="23" style="1230" customWidth="1"/>
    <col min="7433" max="7435" width="20.26953125" style="1230" customWidth="1"/>
    <col min="7436" max="7436" width="20" style="1230" customWidth="1"/>
    <col min="7437" max="7438" width="15.1796875" style="1230" customWidth="1"/>
    <col min="7439" max="7680" width="11.453125" style="1230"/>
    <col min="7681" max="7681" width="10.26953125" style="1230" customWidth="1"/>
    <col min="7682" max="7682" width="52.26953125" style="1230" customWidth="1"/>
    <col min="7683" max="7687" width="20.26953125" style="1230" customWidth="1"/>
    <col min="7688" max="7688" width="23" style="1230" customWidth="1"/>
    <col min="7689" max="7691" width="20.26953125" style="1230" customWidth="1"/>
    <col min="7692" max="7692" width="20" style="1230" customWidth="1"/>
    <col min="7693" max="7694" width="15.1796875" style="1230" customWidth="1"/>
    <col min="7695" max="7936" width="11.453125" style="1230"/>
    <col min="7937" max="7937" width="10.26953125" style="1230" customWidth="1"/>
    <col min="7938" max="7938" width="52.26953125" style="1230" customWidth="1"/>
    <col min="7939" max="7943" width="20.26953125" style="1230" customWidth="1"/>
    <col min="7944" max="7944" width="23" style="1230" customWidth="1"/>
    <col min="7945" max="7947" width="20.26953125" style="1230" customWidth="1"/>
    <col min="7948" max="7948" width="20" style="1230" customWidth="1"/>
    <col min="7949" max="7950" width="15.1796875" style="1230" customWidth="1"/>
    <col min="7951" max="8192" width="11.453125" style="1230"/>
    <col min="8193" max="8193" width="10.26953125" style="1230" customWidth="1"/>
    <col min="8194" max="8194" width="52.26953125" style="1230" customWidth="1"/>
    <col min="8195" max="8199" width="20.26953125" style="1230" customWidth="1"/>
    <col min="8200" max="8200" width="23" style="1230" customWidth="1"/>
    <col min="8201" max="8203" width="20.26953125" style="1230" customWidth="1"/>
    <col min="8204" max="8204" width="20" style="1230" customWidth="1"/>
    <col min="8205" max="8206" width="15.1796875" style="1230" customWidth="1"/>
    <col min="8207" max="8448" width="11.453125" style="1230"/>
    <col min="8449" max="8449" width="10.26953125" style="1230" customWidth="1"/>
    <col min="8450" max="8450" width="52.26953125" style="1230" customWidth="1"/>
    <col min="8451" max="8455" width="20.26953125" style="1230" customWidth="1"/>
    <col min="8456" max="8456" width="23" style="1230" customWidth="1"/>
    <col min="8457" max="8459" width="20.26953125" style="1230" customWidth="1"/>
    <col min="8460" max="8460" width="20" style="1230" customWidth="1"/>
    <col min="8461" max="8462" width="15.1796875" style="1230" customWidth="1"/>
    <col min="8463" max="8704" width="11.453125" style="1230"/>
    <col min="8705" max="8705" width="10.26953125" style="1230" customWidth="1"/>
    <col min="8706" max="8706" width="52.26953125" style="1230" customWidth="1"/>
    <col min="8707" max="8711" width="20.26953125" style="1230" customWidth="1"/>
    <col min="8712" max="8712" width="23" style="1230" customWidth="1"/>
    <col min="8713" max="8715" width="20.26953125" style="1230" customWidth="1"/>
    <col min="8716" max="8716" width="20" style="1230" customWidth="1"/>
    <col min="8717" max="8718" width="15.1796875" style="1230" customWidth="1"/>
    <col min="8719" max="8960" width="11.453125" style="1230"/>
    <col min="8961" max="8961" width="10.26953125" style="1230" customWidth="1"/>
    <col min="8962" max="8962" width="52.26953125" style="1230" customWidth="1"/>
    <col min="8963" max="8967" width="20.26953125" style="1230" customWidth="1"/>
    <col min="8968" max="8968" width="23" style="1230" customWidth="1"/>
    <col min="8969" max="8971" width="20.26953125" style="1230" customWidth="1"/>
    <col min="8972" max="8972" width="20" style="1230" customWidth="1"/>
    <col min="8973" max="8974" width="15.1796875" style="1230" customWidth="1"/>
    <col min="8975" max="9216" width="11.453125" style="1230"/>
    <col min="9217" max="9217" width="10.26953125" style="1230" customWidth="1"/>
    <col min="9218" max="9218" width="52.26953125" style="1230" customWidth="1"/>
    <col min="9219" max="9223" width="20.26953125" style="1230" customWidth="1"/>
    <col min="9224" max="9224" width="23" style="1230" customWidth="1"/>
    <col min="9225" max="9227" width="20.26953125" style="1230" customWidth="1"/>
    <col min="9228" max="9228" width="20" style="1230" customWidth="1"/>
    <col min="9229" max="9230" width="15.1796875" style="1230" customWidth="1"/>
    <col min="9231" max="9472" width="11.453125" style="1230"/>
    <col min="9473" max="9473" width="10.26953125" style="1230" customWidth="1"/>
    <col min="9474" max="9474" width="52.26953125" style="1230" customWidth="1"/>
    <col min="9475" max="9479" width="20.26953125" style="1230" customWidth="1"/>
    <col min="9480" max="9480" width="23" style="1230" customWidth="1"/>
    <col min="9481" max="9483" width="20.26953125" style="1230" customWidth="1"/>
    <col min="9484" max="9484" width="20" style="1230" customWidth="1"/>
    <col min="9485" max="9486" width="15.1796875" style="1230" customWidth="1"/>
    <col min="9487" max="9728" width="11.453125" style="1230"/>
    <col min="9729" max="9729" width="10.26953125" style="1230" customWidth="1"/>
    <col min="9730" max="9730" width="52.26953125" style="1230" customWidth="1"/>
    <col min="9731" max="9735" width="20.26953125" style="1230" customWidth="1"/>
    <col min="9736" max="9736" width="23" style="1230" customWidth="1"/>
    <col min="9737" max="9739" width="20.26953125" style="1230" customWidth="1"/>
    <col min="9740" max="9740" width="20" style="1230" customWidth="1"/>
    <col min="9741" max="9742" width="15.1796875" style="1230" customWidth="1"/>
    <col min="9743" max="9984" width="11.453125" style="1230"/>
    <col min="9985" max="9985" width="10.26953125" style="1230" customWidth="1"/>
    <col min="9986" max="9986" width="52.26953125" style="1230" customWidth="1"/>
    <col min="9987" max="9991" width="20.26953125" style="1230" customWidth="1"/>
    <col min="9992" max="9992" width="23" style="1230" customWidth="1"/>
    <col min="9993" max="9995" width="20.26953125" style="1230" customWidth="1"/>
    <col min="9996" max="9996" width="20" style="1230" customWidth="1"/>
    <col min="9997" max="9998" width="15.1796875" style="1230" customWidth="1"/>
    <col min="9999" max="10240" width="11.453125" style="1230"/>
    <col min="10241" max="10241" width="10.26953125" style="1230" customWidth="1"/>
    <col min="10242" max="10242" width="52.26953125" style="1230" customWidth="1"/>
    <col min="10243" max="10247" width="20.26953125" style="1230" customWidth="1"/>
    <col min="10248" max="10248" width="23" style="1230" customWidth="1"/>
    <col min="10249" max="10251" width="20.26953125" style="1230" customWidth="1"/>
    <col min="10252" max="10252" width="20" style="1230" customWidth="1"/>
    <col min="10253" max="10254" width="15.1796875" style="1230" customWidth="1"/>
    <col min="10255" max="10496" width="11.453125" style="1230"/>
    <col min="10497" max="10497" width="10.26953125" style="1230" customWidth="1"/>
    <col min="10498" max="10498" width="52.26953125" style="1230" customWidth="1"/>
    <col min="10499" max="10503" width="20.26953125" style="1230" customWidth="1"/>
    <col min="10504" max="10504" width="23" style="1230" customWidth="1"/>
    <col min="10505" max="10507" width="20.26953125" style="1230" customWidth="1"/>
    <col min="10508" max="10508" width="20" style="1230" customWidth="1"/>
    <col min="10509" max="10510" width="15.1796875" style="1230" customWidth="1"/>
    <col min="10511" max="10752" width="11.453125" style="1230"/>
    <col min="10753" max="10753" width="10.26953125" style="1230" customWidth="1"/>
    <col min="10754" max="10754" width="52.26953125" style="1230" customWidth="1"/>
    <col min="10755" max="10759" width="20.26953125" style="1230" customWidth="1"/>
    <col min="10760" max="10760" width="23" style="1230" customWidth="1"/>
    <col min="10761" max="10763" width="20.26953125" style="1230" customWidth="1"/>
    <col min="10764" max="10764" width="20" style="1230" customWidth="1"/>
    <col min="10765" max="10766" width="15.1796875" style="1230" customWidth="1"/>
    <col min="10767" max="11008" width="11.453125" style="1230"/>
    <col min="11009" max="11009" width="10.26953125" style="1230" customWidth="1"/>
    <col min="11010" max="11010" width="52.26953125" style="1230" customWidth="1"/>
    <col min="11011" max="11015" width="20.26953125" style="1230" customWidth="1"/>
    <col min="11016" max="11016" width="23" style="1230" customWidth="1"/>
    <col min="11017" max="11019" width="20.26953125" style="1230" customWidth="1"/>
    <col min="11020" max="11020" width="20" style="1230" customWidth="1"/>
    <col min="11021" max="11022" width="15.1796875" style="1230" customWidth="1"/>
    <col min="11023" max="11264" width="11.453125" style="1230"/>
    <col min="11265" max="11265" width="10.26953125" style="1230" customWidth="1"/>
    <col min="11266" max="11266" width="52.26953125" style="1230" customWidth="1"/>
    <col min="11267" max="11271" width="20.26953125" style="1230" customWidth="1"/>
    <col min="11272" max="11272" width="23" style="1230" customWidth="1"/>
    <col min="11273" max="11275" width="20.26953125" style="1230" customWidth="1"/>
    <col min="11276" max="11276" width="20" style="1230" customWidth="1"/>
    <col min="11277" max="11278" width="15.1796875" style="1230" customWidth="1"/>
    <col min="11279" max="11520" width="11.453125" style="1230"/>
    <col min="11521" max="11521" width="10.26953125" style="1230" customWidth="1"/>
    <col min="11522" max="11522" width="52.26953125" style="1230" customWidth="1"/>
    <col min="11523" max="11527" width="20.26953125" style="1230" customWidth="1"/>
    <col min="11528" max="11528" width="23" style="1230" customWidth="1"/>
    <col min="11529" max="11531" width="20.26953125" style="1230" customWidth="1"/>
    <col min="11532" max="11532" width="20" style="1230" customWidth="1"/>
    <col min="11533" max="11534" width="15.1796875" style="1230" customWidth="1"/>
    <col min="11535" max="11776" width="11.453125" style="1230"/>
    <col min="11777" max="11777" width="10.26953125" style="1230" customWidth="1"/>
    <col min="11778" max="11778" width="52.26953125" style="1230" customWidth="1"/>
    <col min="11779" max="11783" width="20.26953125" style="1230" customWidth="1"/>
    <col min="11784" max="11784" width="23" style="1230" customWidth="1"/>
    <col min="11785" max="11787" width="20.26953125" style="1230" customWidth="1"/>
    <col min="11788" max="11788" width="20" style="1230" customWidth="1"/>
    <col min="11789" max="11790" width="15.1796875" style="1230" customWidth="1"/>
    <col min="11791" max="12032" width="11.453125" style="1230"/>
    <col min="12033" max="12033" width="10.26953125" style="1230" customWidth="1"/>
    <col min="12034" max="12034" width="52.26953125" style="1230" customWidth="1"/>
    <col min="12035" max="12039" width="20.26953125" style="1230" customWidth="1"/>
    <col min="12040" max="12040" width="23" style="1230" customWidth="1"/>
    <col min="12041" max="12043" width="20.26953125" style="1230" customWidth="1"/>
    <col min="12044" max="12044" width="20" style="1230" customWidth="1"/>
    <col min="12045" max="12046" width="15.1796875" style="1230" customWidth="1"/>
    <col min="12047" max="12288" width="11.453125" style="1230"/>
    <col min="12289" max="12289" width="10.26953125" style="1230" customWidth="1"/>
    <col min="12290" max="12290" width="52.26953125" style="1230" customWidth="1"/>
    <col min="12291" max="12295" width="20.26953125" style="1230" customWidth="1"/>
    <col min="12296" max="12296" width="23" style="1230" customWidth="1"/>
    <col min="12297" max="12299" width="20.26953125" style="1230" customWidth="1"/>
    <col min="12300" max="12300" width="20" style="1230" customWidth="1"/>
    <col min="12301" max="12302" width="15.1796875" style="1230" customWidth="1"/>
    <col min="12303" max="12544" width="11.453125" style="1230"/>
    <col min="12545" max="12545" width="10.26953125" style="1230" customWidth="1"/>
    <col min="12546" max="12546" width="52.26953125" style="1230" customWidth="1"/>
    <col min="12547" max="12551" width="20.26953125" style="1230" customWidth="1"/>
    <col min="12552" max="12552" width="23" style="1230" customWidth="1"/>
    <col min="12553" max="12555" width="20.26953125" style="1230" customWidth="1"/>
    <col min="12556" max="12556" width="20" style="1230" customWidth="1"/>
    <col min="12557" max="12558" width="15.1796875" style="1230" customWidth="1"/>
    <col min="12559" max="12800" width="11.453125" style="1230"/>
    <col min="12801" max="12801" width="10.26953125" style="1230" customWidth="1"/>
    <col min="12802" max="12802" width="52.26953125" style="1230" customWidth="1"/>
    <col min="12803" max="12807" width="20.26953125" style="1230" customWidth="1"/>
    <col min="12808" max="12808" width="23" style="1230" customWidth="1"/>
    <col min="12809" max="12811" width="20.26953125" style="1230" customWidth="1"/>
    <col min="12812" max="12812" width="20" style="1230" customWidth="1"/>
    <col min="12813" max="12814" width="15.1796875" style="1230" customWidth="1"/>
    <col min="12815" max="13056" width="11.453125" style="1230"/>
    <col min="13057" max="13057" width="10.26953125" style="1230" customWidth="1"/>
    <col min="13058" max="13058" width="52.26953125" style="1230" customWidth="1"/>
    <col min="13059" max="13063" width="20.26953125" style="1230" customWidth="1"/>
    <col min="13064" max="13064" width="23" style="1230" customWidth="1"/>
    <col min="13065" max="13067" width="20.26953125" style="1230" customWidth="1"/>
    <col min="13068" max="13068" width="20" style="1230" customWidth="1"/>
    <col min="13069" max="13070" width="15.1796875" style="1230" customWidth="1"/>
    <col min="13071" max="13312" width="11.453125" style="1230"/>
    <col min="13313" max="13313" width="10.26953125" style="1230" customWidth="1"/>
    <col min="13314" max="13314" width="52.26953125" style="1230" customWidth="1"/>
    <col min="13315" max="13319" width="20.26953125" style="1230" customWidth="1"/>
    <col min="13320" max="13320" width="23" style="1230" customWidth="1"/>
    <col min="13321" max="13323" width="20.26953125" style="1230" customWidth="1"/>
    <col min="13324" max="13324" width="20" style="1230" customWidth="1"/>
    <col min="13325" max="13326" width="15.1796875" style="1230" customWidth="1"/>
    <col min="13327" max="13568" width="11.453125" style="1230"/>
    <col min="13569" max="13569" width="10.26953125" style="1230" customWidth="1"/>
    <col min="13570" max="13570" width="52.26953125" style="1230" customWidth="1"/>
    <col min="13571" max="13575" width="20.26953125" style="1230" customWidth="1"/>
    <col min="13576" max="13576" width="23" style="1230" customWidth="1"/>
    <col min="13577" max="13579" width="20.26953125" style="1230" customWidth="1"/>
    <col min="13580" max="13580" width="20" style="1230" customWidth="1"/>
    <col min="13581" max="13582" width="15.1796875" style="1230" customWidth="1"/>
    <col min="13583" max="13824" width="11.453125" style="1230"/>
    <col min="13825" max="13825" width="10.26953125" style="1230" customWidth="1"/>
    <col min="13826" max="13826" width="52.26953125" style="1230" customWidth="1"/>
    <col min="13827" max="13831" width="20.26953125" style="1230" customWidth="1"/>
    <col min="13832" max="13832" width="23" style="1230" customWidth="1"/>
    <col min="13833" max="13835" width="20.26953125" style="1230" customWidth="1"/>
    <col min="13836" max="13836" width="20" style="1230" customWidth="1"/>
    <col min="13837" max="13838" width="15.1796875" style="1230" customWidth="1"/>
    <col min="13839" max="14080" width="11.453125" style="1230"/>
    <col min="14081" max="14081" width="10.26953125" style="1230" customWidth="1"/>
    <col min="14082" max="14082" width="52.26953125" style="1230" customWidth="1"/>
    <col min="14083" max="14087" width="20.26953125" style="1230" customWidth="1"/>
    <col min="14088" max="14088" width="23" style="1230" customWidth="1"/>
    <col min="14089" max="14091" width="20.26953125" style="1230" customWidth="1"/>
    <col min="14092" max="14092" width="20" style="1230" customWidth="1"/>
    <col min="14093" max="14094" width="15.1796875" style="1230" customWidth="1"/>
    <col min="14095" max="14336" width="11.453125" style="1230"/>
    <col min="14337" max="14337" width="10.26953125" style="1230" customWidth="1"/>
    <col min="14338" max="14338" width="52.26953125" style="1230" customWidth="1"/>
    <col min="14339" max="14343" width="20.26953125" style="1230" customWidth="1"/>
    <col min="14344" max="14344" width="23" style="1230" customWidth="1"/>
    <col min="14345" max="14347" width="20.26953125" style="1230" customWidth="1"/>
    <col min="14348" max="14348" width="20" style="1230" customWidth="1"/>
    <col min="14349" max="14350" width="15.1796875" style="1230" customWidth="1"/>
    <col min="14351" max="14592" width="11.453125" style="1230"/>
    <col min="14593" max="14593" width="10.26953125" style="1230" customWidth="1"/>
    <col min="14594" max="14594" width="52.26953125" style="1230" customWidth="1"/>
    <col min="14595" max="14599" width="20.26953125" style="1230" customWidth="1"/>
    <col min="14600" max="14600" width="23" style="1230" customWidth="1"/>
    <col min="14601" max="14603" width="20.26953125" style="1230" customWidth="1"/>
    <col min="14604" max="14604" width="20" style="1230" customWidth="1"/>
    <col min="14605" max="14606" width="15.1796875" style="1230" customWidth="1"/>
    <col min="14607" max="14848" width="11.453125" style="1230"/>
    <col min="14849" max="14849" width="10.26953125" style="1230" customWidth="1"/>
    <col min="14850" max="14850" width="52.26953125" style="1230" customWidth="1"/>
    <col min="14851" max="14855" width="20.26953125" style="1230" customWidth="1"/>
    <col min="14856" max="14856" width="23" style="1230" customWidth="1"/>
    <col min="14857" max="14859" width="20.26953125" style="1230" customWidth="1"/>
    <col min="14860" max="14860" width="20" style="1230" customWidth="1"/>
    <col min="14861" max="14862" width="15.1796875" style="1230" customWidth="1"/>
    <col min="14863" max="15104" width="11.453125" style="1230"/>
    <col min="15105" max="15105" width="10.26953125" style="1230" customWidth="1"/>
    <col min="15106" max="15106" width="52.26953125" style="1230" customWidth="1"/>
    <col min="15107" max="15111" width="20.26953125" style="1230" customWidth="1"/>
    <col min="15112" max="15112" width="23" style="1230" customWidth="1"/>
    <col min="15113" max="15115" width="20.26953125" style="1230" customWidth="1"/>
    <col min="15116" max="15116" width="20" style="1230" customWidth="1"/>
    <col min="15117" max="15118" width="15.1796875" style="1230" customWidth="1"/>
    <col min="15119" max="15360" width="11.453125" style="1230"/>
    <col min="15361" max="15361" width="10.26953125" style="1230" customWidth="1"/>
    <col min="15362" max="15362" width="52.26953125" style="1230" customWidth="1"/>
    <col min="15363" max="15367" width="20.26953125" style="1230" customWidth="1"/>
    <col min="15368" max="15368" width="23" style="1230" customWidth="1"/>
    <col min="15369" max="15371" width="20.26953125" style="1230" customWidth="1"/>
    <col min="15372" max="15372" width="20" style="1230" customWidth="1"/>
    <col min="15373" max="15374" width="15.1796875" style="1230" customWidth="1"/>
    <col min="15375" max="15616" width="11.453125" style="1230"/>
    <col min="15617" max="15617" width="10.26953125" style="1230" customWidth="1"/>
    <col min="15618" max="15618" width="52.26953125" style="1230" customWidth="1"/>
    <col min="15619" max="15623" width="20.26953125" style="1230" customWidth="1"/>
    <col min="15624" max="15624" width="23" style="1230" customWidth="1"/>
    <col min="15625" max="15627" width="20.26953125" style="1230" customWidth="1"/>
    <col min="15628" max="15628" width="20" style="1230" customWidth="1"/>
    <col min="15629" max="15630" width="15.1796875" style="1230" customWidth="1"/>
    <col min="15631" max="15872" width="11.453125" style="1230"/>
    <col min="15873" max="15873" width="10.26953125" style="1230" customWidth="1"/>
    <col min="15874" max="15874" width="52.26953125" style="1230" customWidth="1"/>
    <col min="15875" max="15879" width="20.26953125" style="1230" customWidth="1"/>
    <col min="15880" max="15880" width="23" style="1230" customWidth="1"/>
    <col min="15881" max="15883" width="20.26953125" style="1230" customWidth="1"/>
    <col min="15884" max="15884" width="20" style="1230" customWidth="1"/>
    <col min="15885" max="15886" width="15.1796875" style="1230" customWidth="1"/>
    <col min="15887" max="16128" width="11.453125" style="1230"/>
    <col min="16129" max="16129" width="10.26953125" style="1230" customWidth="1"/>
    <col min="16130" max="16130" width="52.26953125" style="1230" customWidth="1"/>
    <col min="16131" max="16135" width="20.26953125" style="1230" customWidth="1"/>
    <col min="16136" max="16136" width="23" style="1230" customWidth="1"/>
    <col min="16137" max="16139" width="20.26953125" style="1230" customWidth="1"/>
    <col min="16140" max="16140" width="20" style="1230" customWidth="1"/>
    <col min="16141" max="16142" width="15.1796875" style="1230" customWidth="1"/>
    <col min="16143" max="16384" width="11.453125" style="1230"/>
  </cols>
  <sheetData>
    <row r="1" spans="1:22" ht="15.5">
      <c r="A1" s="1183"/>
      <c r="B1" s="1184"/>
      <c r="C1" s="1184"/>
      <c r="D1" s="1184"/>
      <c r="E1" s="1185"/>
      <c r="F1" s="1186"/>
      <c r="G1" s="1186"/>
      <c r="H1" s="1186"/>
      <c r="I1" s="1186"/>
      <c r="J1" s="1186"/>
      <c r="K1" s="1186"/>
      <c r="L1" s="1186"/>
      <c r="M1" s="1186"/>
    </row>
    <row r="2" spans="1:22" ht="15.5">
      <c r="A2" s="1996" t="str">
        <f>+'OKT TCOS'!F4</f>
        <v xml:space="preserve">AEP West SPP Member Transmission Companies </v>
      </c>
      <c r="B2" s="1996"/>
      <c r="C2" s="1996"/>
      <c r="D2" s="1996"/>
      <c r="E2" s="1996"/>
      <c r="F2" s="1996"/>
      <c r="G2" s="1996"/>
      <c r="H2" s="1996"/>
      <c r="I2" s="278"/>
      <c r="J2" s="278"/>
      <c r="K2" s="278"/>
      <c r="L2" s="278"/>
      <c r="M2" s="278"/>
    </row>
    <row r="3" spans="1:22" ht="15.5">
      <c r="A3" s="1990" t="str">
        <f>+'OKT WS A-1 - Plant'!A3</f>
        <v xml:space="preserve">Actual / Projected 2019 Rate Year Cost of Service Formula Rate </v>
      </c>
      <c r="B3" s="1990"/>
      <c r="C3" s="1990"/>
      <c r="D3" s="1990"/>
      <c r="E3" s="1990"/>
      <c r="F3" s="1990"/>
      <c r="G3" s="1990"/>
      <c r="H3" s="1990"/>
      <c r="I3" s="422"/>
      <c r="J3" s="422"/>
      <c r="K3" s="422"/>
      <c r="L3" s="422"/>
      <c r="M3" s="422"/>
    </row>
    <row r="4" spans="1:22" ht="15.5">
      <c r="A4" s="1991" t="s">
        <v>881</v>
      </c>
      <c r="B4" s="1991"/>
      <c r="C4" s="1991"/>
      <c r="D4" s="1991"/>
      <c r="E4" s="1991"/>
      <c r="F4" s="1991"/>
      <c r="G4" s="1991"/>
      <c r="H4" s="1991"/>
      <c r="I4" s="422"/>
      <c r="J4" s="422"/>
      <c r="K4" s="422"/>
      <c r="L4" s="422"/>
      <c r="M4" s="422"/>
    </row>
    <row r="5" spans="1:22" ht="15.5">
      <c r="A5" s="1997" t="str">
        <f>+'OKT TCOS'!F8</f>
        <v>AEP OKLAHOMA TRANSMISSION COMPANY, INC.</v>
      </c>
      <c r="B5" s="1997"/>
      <c r="C5" s="1997"/>
      <c r="D5" s="1997"/>
      <c r="E5" s="1997"/>
      <c r="F5" s="1997"/>
      <c r="G5" s="1997"/>
      <c r="H5" s="1997"/>
      <c r="I5" s="483"/>
      <c r="J5" s="483"/>
      <c r="K5" s="483"/>
      <c r="L5" s="483"/>
      <c r="M5" s="483"/>
    </row>
    <row r="6" spans="1:22">
      <c r="A6" s="1231"/>
      <c r="B6" s="1232"/>
      <c r="C6" s="1232"/>
      <c r="D6" s="1232"/>
      <c r="E6" s="1233"/>
      <c r="F6" s="1234"/>
      <c r="H6" s="30"/>
      <c r="I6" s="30"/>
      <c r="J6" s="30"/>
      <c r="K6" s="30"/>
      <c r="L6" s="30"/>
    </row>
    <row r="7" spans="1:22" ht="12.75" customHeight="1">
      <c r="A7" s="1235"/>
      <c r="B7" s="1236"/>
      <c r="C7" s="2057" t="s">
        <v>174</v>
      </c>
      <c r="D7" s="2058"/>
      <c r="E7" s="2058"/>
      <c r="F7" s="2058"/>
      <c r="G7" s="2059"/>
      <c r="H7" s="31"/>
      <c r="I7" s="30"/>
      <c r="J7" s="30"/>
      <c r="K7" s="30"/>
      <c r="L7" s="30"/>
    </row>
    <row r="8" spans="1:22" s="1242" customFormat="1" ht="50.25" customHeight="1">
      <c r="A8" s="1237" t="s">
        <v>706</v>
      </c>
      <c r="B8" s="1238" t="s">
        <v>689</v>
      </c>
      <c r="C8" s="1239" t="s">
        <v>850</v>
      </c>
      <c r="D8" s="1240" t="s">
        <v>851</v>
      </c>
      <c r="E8" s="1240" t="s">
        <v>852</v>
      </c>
      <c r="F8" s="1240" t="s">
        <v>853</v>
      </c>
      <c r="G8" s="1241" t="s">
        <v>174</v>
      </c>
      <c r="H8" s="31"/>
      <c r="I8" s="30"/>
      <c r="J8" s="30"/>
      <c r="K8" s="30"/>
      <c r="L8" s="30"/>
    </row>
    <row r="9" spans="1:22" s="1248" customFormat="1">
      <c r="A9" s="1243"/>
      <c r="B9" s="1244" t="s">
        <v>715</v>
      </c>
      <c r="C9" s="1245" t="s">
        <v>716</v>
      </c>
      <c r="D9" s="1246" t="s">
        <v>717</v>
      </c>
      <c r="E9" s="1246" t="s">
        <v>718</v>
      </c>
      <c r="F9" s="1246" t="s">
        <v>719</v>
      </c>
      <c r="G9" s="1247" t="s">
        <v>854</v>
      </c>
      <c r="H9" s="31"/>
      <c r="I9" s="30"/>
      <c r="J9" s="30"/>
      <c r="K9" s="30"/>
      <c r="L9" s="30"/>
    </row>
    <row r="10" spans="1:22" s="1248" customFormat="1" ht="44.25" customHeight="1">
      <c r="A10" s="1243"/>
      <c r="B10" s="1244" t="s">
        <v>855</v>
      </c>
      <c r="C10" s="1249" t="s">
        <v>856</v>
      </c>
      <c r="D10" s="1250" t="s">
        <v>857</v>
      </c>
      <c r="E10" s="1250" t="s">
        <v>858</v>
      </c>
      <c r="F10" s="1250" t="s">
        <v>859</v>
      </c>
      <c r="G10" s="1251"/>
      <c r="H10" s="31"/>
      <c r="I10" s="30"/>
      <c r="J10" s="30"/>
      <c r="K10" s="30"/>
      <c r="L10" s="30"/>
    </row>
    <row r="11" spans="1:22">
      <c r="A11" s="1243">
        <v>1</v>
      </c>
      <c r="B11" s="1252" t="s">
        <v>725</v>
      </c>
      <c r="C11" s="575">
        <v>460217729.90800011</v>
      </c>
      <c r="D11" s="575">
        <v>0</v>
      </c>
      <c r="E11" s="575">
        <v>0</v>
      </c>
      <c r="F11" s="575">
        <v>0</v>
      </c>
      <c r="G11" s="1253">
        <f t="shared" ref="G11:G23" si="0">+C11-D11-E11-F11</f>
        <v>460217729.90800011</v>
      </c>
      <c r="H11" s="31"/>
      <c r="I11" s="132"/>
      <c r="J11" s="132"/>
      <c r="K11" s="132"/>
      <c r="L11" s="132"/>
      <c r="M11" s="132"/>
      <c r="N11" s="132"/>
      <c r="O11" s="132"/>
      <c r="P11" s="132"/>
      <c r="Q11" s="132"/>
      <c r="R11" s="132"/>
      <c r="S11" s="132"/>
      <c r="T11" s="132"/>
      <c r="U11" s="132"/>
      <c r="V11" s="132"/>
    </row>
    <row r="12" spans="1:22">
      <c r="A12" s="1243">
        <f t="shared" ref="A12:A24" si="1">+A11+1</f>
        <v>2</v>
      </c>
      <c r="B12" s="1252" t="s">
        <v>321</v>
      </c>
      <c r="C12" s="575">
        <v>466147005.18800002</v>
      </c>
      <c r="D12" s="575"/>
      <c r="E12" s="575"/>
      <c r="F12" s="575"/>
      <c r="G12" s="1253">
        <f t="shared" si="0"/>
        <v>466147005.18800002</v>
      </c>
      <c r="H12" s="31"/>
      <c r="I12" s="30"/>
      <c r="J12" s="30"/>
      <c r="K12" s="30"/>
      <c r="L12" s="30"/>
    </row>
    <row r="13" spans="1:22">
      <c r="A13" s="1243">
        <f t="shared" si="1"/>
        <v>3</v>
      </c>
      <c r="B13" s="1254" t="s">
        <v>514</v>
      </c>
      <c r="C13" s="575">
        <v>468597829.28800011</v>
      </c>
      <c r="D13" s="575"/>
      <c r="E13" s="575"/>
      <c r="F13" s="575"/>
      <c r="G13" s="1253">
        <f t="shared" si="0"/>
        <v>468597829.28800011</v>
      </c>
      <c r="H13" s="31"/>
      <c r="I13" s="30"/>
      <c r="J13" s="30"/>
      <c r="K13" s="30"/>
      <c r="L13" s="30"/>
    </row>
    <row r="14" spans="1:22">
      <c r="A14" s="1243">
        <f t="shared" si="1"/>
        <v>4</v>
      </c>
      <c r="B14" s="1254" t="s">
        <v>726</v>
      </c>
      <c r="C14" s="575">
        <v>467978972.24999994</v>
      </c>
      <c r="D14" s="575"/>
      <c r="E14" s="575"/>
      <c r="F14" s="575"/>
      <c r="G14" s="1253">
        <f t="shared" si="0"/>
        <v>467978972.24999994</v>
      </c>
      <c r="H14" s="31"/>
      <c r="I14" s="30"/>
      <c r="J14" s="30"/>
      <c r="K14" s="30"/>
      <c r="L14" s="30"/>
    </row>
    <row r="15" spans="1:22">
      <c r="A15" s="1243">
        <f t="shared" si="1"/>
        <v>5</v>
      </c>
      <c r="B15" s="1254" t="s">
        <v>323</v>
      </c>
      <c r="C15" s="575">
        <v>470007797.63499999</v>
      </c>
      <c r="D15" s="575"/>
      <c r="E15" s="575"/>
      <c r="F15" s="575"/>
      <c r="G15" s="1253">
        <f t="shared" si="0"/>
        <v>470007797.63499999</v>
      </c>
      <c r="H15" s="31"/>
      <c r="I15" s="30"/>
      <c r="J15" s="30"/>
      <c r="K15" s="30"/>
      <c r="L15" s="30"/>
    </row>
    <row r="16" spans="1:22">
      <c r="A16" s="1243">
        <f t="shared" si="1"/>
        <v>6</v>
      </c>
      <c r="B16" s="1254" t="s">
        <v>324</v>
      </c>
      <c r="C16" s="575">
        <v>471800615.76499999</v>
      </c>
      <c r="D16" s="575"/>
      <c r="E16" s="575"/>
      <c r="F16" s="575"/>
      <c r="G16" s="1253">
        <f t="shared" si="0"/>
        <v>471800615.76499999</v>
      </c>
      <c r="H16" s="31"/>
      <c r="I16" s="30"/>
      <c r="J16" s="30"/>
      <c r="K16" s="30"/>
      <c r="L16" s="30"/>
    </row>
    <row r="17" spans="1:23">
      <c r="A17" s="1243">
        <f t="shared" si="1"/>
        <v>7</v>
      </c>
      <c r="B17" s="1254" t="s">
        <v>48</v>
      </c>
      <c r="C17" s="575">
        <v>477319453.41000009</v>
      </c>
      <c r="D17" s="575"/>
      <c r="E17" s="575"/>
      <c r="F17" s="575"/>
      <c r="G17" s="1253">
        <f t="shared" si="0"/>
        <v>477319453.41000009</v>
      </c>
      <c r="H17" s="31"/>
      <c r="I17" s="30"/>
      <c r="J17" s="30"/>
      <c r="K17" s="30"/>
      <c r="L17" s="30"/>
    </row>
    <row r="18" spans="1:23">
      <c r="A18" s="1243">
        <f t="shared" si="1"/>
        <v>8</v>
      </c>
      <c r="B18" s="1254" t="s">
        <v>325</v>
      </c>
      <c r="C18" s="575">
        <v>481310996.06599998</v>
      </c>
      <c r="D18" s="575"/>
      <c r="E18" s="575"/>
      <c r="F18" s="575"/>
      <c r="G18" s="1253">
        <f t="shared" si="0"/>
        <v>481310996.06599998</v>
      </c>
      <c r="H18" s="31"/>
      <c r="I18" s="30"/>
      <c r="J18" s="30"/>
      <c r="K18" s="30"/>
      <c r="L18" s="30"/>
    </row>
    <row r="19" spans="1:23">
      <c r="A19" s="1243">
        <f t="shared" si="1"/>
        <v>9</v>
      </c>
      <c r="B19" s="1254" t="s">
        <v>727</v>
      </c>
      <c r="C19" s="575">
        <v>486091300.34399998</v>
      </c>
      <c r="D19" s="575"/>
      <c r="E19" s="575"/>
      <c r="F19" s="575"/>
      <c r="G19" s="1253">
        <f t="shared" si="0"/>
        <v>486091300.34399998</v>
      </c>
      <c r="H19" s="31"/>
      <c r="I19" s="30"/>
      <c r="J19" s="30"/>
      <c r="K19" s="30"/>
      <c r="L19" s="30"/>
    </row>
    <row r="20" spans="1:23">
      <c r="A20" s="1243">
        <f t="shared" si="1"/>
        <v>10</v>
      </c>
      <c r="B20" s="1254" t="s">
        <v>328</v>
      </c>
      <c r="C20" s="575">
        <v>490510169.87099987</v>
      </c>
      <c r="D20" s="575"/>
      <c r="E20" s="575"/>
      <c r="F20" s="575"/>
      <c r="G20" s="1253">
        <f t="shared" si="0"/>
        <v>490510169.87099987</v>
      </c>
      <c r="H20" s="31"/>
      <c r="I20" s="30"/>
      <c r="J20" s="30"/>
      <c r="K20" s="30"/>
      <c r="L20" s="30"/>
    </row>
    <row r="21" spans="1:23">
      <c r="A21" s="1243">
        <f t="shared" si="1"/>
        <v>11</v>
      </c>
      <c r="B21" s="1254" t="s">
        <v>515</v>
      </c>
      <c r="C21" s="575">
        <v>493352319.01099992</v>
      </c>
      <c r="D21" s="575"/>
      <c r="E21" s="575"/>
      <c r="F21" s="575"/>
      <c r="G21" s="1253">
        <f t="shared" si="0"/>
        <v>493352319.01099992</v>
      </c>
      <c r="H21" s="31"/>
      <c r="I21" s="30"/>
      <c r="J21" s="30"/>
      <c r="K21" s="30"/>
      <c r="L21" s="30"/>
    </row>
    <row r="22" spans="1:23">
      <c r="A22" s="1243">
        <f t="shared" si="1"/>
        <v>12</v>
      </c>
      <c r="B22" s="1254" t="s">
        <v>516</v>
      </c>
      <c r="C22" s="575">
        <v>496663542.02300012</v>
      </c>
      <c r="D22" s="575"/>
      <c r="E22" s="575"/>
      <c r="F22" s="575"/>
      <c r="G22" s="1253">
        <f t="shared" si="0"/>
        <v>496663542.02300012</v>
      </c>
      <c r="H22" s="31"/>
      <c r="I22" s="30"/>
      <c r="J22" s="30"/>
      <c r="K22" s="30"/>
      <c r="L22" s="30"/>
    </row>
    <row r="23" spans="1:23">
      <c r="A23" s="1255">
        <f t="shared" si="1"/>
        <v>13</v>
      </c>
      <c r="B23" s="1256" t="s">
        <v>728</v>
      </c>
      <c r="C23" s="575">
        <v>498795946.02999985</v>
      </c>
      <c r="D23" s="575">
        <v>0</v>
      </c>
      <c r="E23" s="575">
        <v>0</v>
      </c>
      <c r="F23" s="575">
        <v>0</v>
      </c>
      <c r="G23" s="1253">
        <f t="shared" si="0"/>
        <v>498795946.02999985</v>
      </c>
      <c r="H23" s="31"/>
      <c r="I23" s="30"/>
      <c r="J23" s="30"/>
      <c r="K23" s="30"/>
      <c r="L23" s="30"/>
    </row>
    <row r="24" spans="1:23" ht="13.5" thickBot="1">
      <c r="A24" s="1257">
        <f t="shared" si="1"/>
        <v>14</v>
      </c>
      <c r="B24" s="1945" t="s">
        <v>1073</v>
      </c>
      <c r="C24" s="1946">
        <f>SUM(C11:C23)/13</f>
        <v>479137975.13761532</v>
      </c>
      <c r="D24" s="1947">
        <f>SUM(D11:D23)/13</f>
        <v>0</v>
      </c>
      <c r="E24" s="1947">
        <f>SUM(E11:E23)/13</f>
        <v>0</v>
      </c>
      <c r="F24" s="1947">
        <f>SUM(F11:F23)/13</f>
        <v>0</v>
      </c>
      <c r="G24" s="1258">
        <f>AVERAGE(G11:G23)</f>
        <v>479137975.13761532</v>
      </c>
      <c r="H24" s="31"/>
      <c r="I24" s="30"/>
      <c r="J24" s="30"/>
      <c r="K24" s="30"/>
      <c r="L24" s="30"/>
    </row>
    <row r="25" spans="1:23" ht="13.5" thickTop="1">
      <c r="A25" s="1235"/>
      <c r="B25" s="1259"/>
      <c r="C25" s="1260"/>
      <c r="D25" s="478"/>
      <c r="E25" s="478"/>
      <c r="F25" s="478"/>
      <c r="G25" s="1260"/>
      <c r="H25" s="1260"/>
      <c r="I25" s="30"/>
      <c r="J25" s="30"/>
      <c r="K25" s="30"/>
      <c r="L25" s="30"/>
    </row>
    <row r="26" spans="1:23" ht="12.75" customHeight="1">
      <c r="A26" s="1235"/>
      <c r="B26" s="1236"/>
      <c r="C26" s="2060" t="s">
        <v>860</v>
      </c>
      <c r="D26" s="2061"/>
      <c r="E26" s="2061"/>
      <c r="F26" s="2061"/>
      <c r="G26" s="2061"/>
      <c r="H26" s="2062"/>
      <c r="I26" s="30"/>
      <c r="J26" s="30"/>
      <c r="K26" s="30"/>
      <c r="L26" s="30"/>
    </row>
    <row r="27" spans="1:23" s="1242" customFormat="1" ht="39">
      <c r="A27" s="1237" t="s">
        <v>706</v>
      </c>
      <c r="B27" s="1238" t="s">
        <v>689</v>
      </c>
      <c r="C27" s="1239" t="s">
        <v>861</v>
      </c>
      <c r="D27" s="1240" t="s">
        <v>862</v>
      </c>
      <c r="E27" s="1240" t="s">
        <v>863</v>
      </c>
      <c r="F27" s="1240" t="s">
        <v>864</v>
      </c>
      <c r="G27" s="1240" t="s">
        <v>865</v>
      </c>
      <c r="H27" s="1241" t="s">
        <v>866</v>
      </c>
      <c r="I27" s="30"/>
      <c r="J27" s="30"/>
      <c r="K27" s="30"/>
      <c r="L27" s="30"/>
    </row>
    <row r="28" spans="1:23" s="1248" customFormat="1">
      <c r="A28" s="1243"/>
      <c r="B28" s="1244" t="s">
        <v>715</v>
      </c>
      <c r="C28" s="1245" t="s">
        <v>716</v>
      </c>
      <c r="D28" s="1246" t="s">
        <v>717</v>
      </c>
      <c r="E28" s="1246" t="s">
        <v>718</v>
      </c>
      <c r="F28" s="1246" t="s">
        <v>719</v>
      </c>
      <c r="G28" s="1246" t="s">
        <v>720</v>
      </c>
      <c r="H28" s="1247" t="s">
        <v>867</v>
      </c>
      <c r="I28" s="30"/>
      <c r="J28" s="30"/>
      <c r="K28" s="30"/>
      <c r="L28" s="30"/>
    </row>
    <row r="29" spans="1:23" s="1248" customFormat="1" ht="44.25" customHeight="1">
      <c r="A29" s="1243"/>
      <c r="B29" s="1244" t="s">
        <v>855</v>
      </c>
      <c r="C29" s="1249" t="s">
        <v>868</v>
      </c>
      <c r="D29" s="1250" t="s">
        <v>869</v>
      </c>
      <c r="E29" s="1250" t="s">
        <v>870</v>
      </c>
      <c r="F29" s="1250" t="s">
        <v>871</v>
      </c>
      <c r="G29" s="1250" t="s">
        <v>872</v>
      </c>
      <c r="H29" s="1261"/>
      <c r="I29" s="30"/>
      <c r="J29" s="30"/>
      <c r="K29" s="30"/>
      <c r="L29" s="30"/>
    </row>
    <row r="30" spans="1:23">
      <c r="A30" s="1243">
        <f>+A24+1</f>
        <v>15</v>
      </c>
      <c r="B30" s="1252" t="s">
        <v>725</v>
      </c>
      <c r="C30" s="575">
        <v>0</v>
      </c>
      <c r="D30" s="575">
        <v>0</v>
      </c>
      <c r="E30" s="575">
        <v>380850000</v>
      </c>
      <c r="F30" s="575">
        <v>0</v>
      </c>
      <c r="G30" s="575">
        <v>0</v>
      </c>
      <c r="H30" s="1253">
        <f t="shared" ref="H30:H42" si="2">+C30-D30+E30+F30-G30</f>
        <v>380850000</v>
      </c>
      <c r="I30" s="30"/>
      <c r="J30" s="132"/>
      <c r="K30" s="132"/>
      <c r="L30" s="132"/>
      <c r="M30" s="132"/>
      <c r="N30" s="132"/>
      <c r="O30" s="132"/>
      <c r="P30" s="132"/>
      <c r="Q30" s="132"/>
      <c r="R30" s="132"/>
      <c r="S30" s="132"/>
      <c r="T30" s="132"/>
      <c r="U30" s="132"/>
      <c r="V30" s="132"/>
      <c r="W30" s="132"/>
    </row>
    <row r="31" spans="1:23">
      <c r="A31" s="1243">
        <f t="shared" ref="A31:A43" si="3">+A30+1</f>
        <v>16</v>
      </c>
      <c r="B31" s="1252" t="s">
        <v>321</v>
      </c>
      <c r="C31" s="575"/>
      <c r="D31" s="575"/>
      <c r="E31" s="575">
        <v>380850000</v>
      </c>
      <c r="F31" s="575"/>
      <c r="G31" s="575"/>
      <c r="H31" s="1253">
        <f t="shared" si="2"/>
        <v>380850000</v>
      </c>
      <c r="I31" s="30"/>
      <c r="J31" s="30"/>
      <c r="K31" s="30"/>
      <c r="L31" s="30"/>
    </row>
    <row r="32" spans="1:23">
      <c r="A32" s="1243">
        <f t="shared" si="3"/>
        <v>17</v>
      </c>
      <c r="B32" s="1254" t="s">
        <v>514</v>
      </c>
      <c r="C32" s="575"/>
      <c r="D32" s="575"/>
      <c r="E32" s="575">
        <v>380850000</v>
      </c>
      <c r="F32" s="575"/>
      <c r="G32" s="575"/>
      <c r="H32" s="1253">
        <f t="shared" si="2"/>
        <v>380850000</v>
      </c>
      <c r="I32" s="30"/>
      <c r="J32" s="30"/>
      <c r="K32" s="30"/>
      <c r="L32" s="30"/>
    </row>
    <row r="33" spans="1:12">
      <c r="A33" s="1243">
        <f t="shared" si="3"/>
        <v>18</v>
      </c>
      <c r="B33" s="1254" t="s">
        <v>726</v>
      </c>
      <c r="C33" s="575"/>
      <c r="D33" s="575"/>
      <c r="E33" s="575">
        <v>380850000</v>
      </c>
      <c r="F33" s="575"/>
      <c r="G33" s="575"/>
      <c r="H33" s="1253">
        <f t="shared" si="2"/>
        <v>380850000</v>
      </c>
      <c r="I33" s="30"/>
      <c r="J33" s="30"/>
      <c r="K33" s="30"/>
      <c r="L33" s="30"/>
    </row>
    <row r="34" spans="1:12">
      <c r="A34" s="1243">
        <f t="shared" si="3"/>
        <v>19</v>
      </c>
      <c r="B34" s="1254" t="s">
        <v>323</v>
      </c>
      <c r="C34" s="575"/>
      <c r="D34" s="575"/>
      <c r="E34" s="575">
        <v>380850000</v>
      </c>
      <c r="F34" s="575"/>
      <c r="G34" s="575"/>
      <c r="H34" s="1253">
        <f t="shared" si="2"/>
        <v>380850000</v>
      </c>
      <c r="I34" s="30"/>
      <c r="J34" s="30"/>
      <c r="K34" s="30"/>
      <c r="L34" s="30"/>
    </row>
    <row r="35" spans="1:12">
      <c r="A35" s="1243">
        <f t="shared" si="3"/>
        <v>20</v>
      </c>
      <c r="B35" s="1254" t="s">
        <v>324</v>
      </c>
      <c r="C35" s="575"/>
      <c r="D35" s="575"/>
      <c r="E35" s="575">
        <v>380850000</v>
      </c>
      <c r="F35" s="575"/>
      <c r="G35" s="575"/>
      <c r="H35" s="1253">
        <f t="shared" si="2"/>
        <v>380850000</v>
      </c>
      <c r="I35" s="30"/>
      <c r="J35" s="30"/>
      <c r="K35" s="30"/>
      <c r="L35" s="30"/>
    </row>
    <row r="36" spans="1:12">
      <c r="A36" s="1243">
        <f t="shared" si="3"/>
        <v>21</v>
      </c>
      <c r="B36" s="1254" t="s">
        <v>48</v>
      </c>
      <c r="C36" s="575"/>
      <c r="D36" s="575"/>
      <c r="E36" s="575">
        <v>380850000</v>
      </c>
      <c r="F36" s="575"/>
      <c r="G36" s="575"/>
      <c r="H36" s="1253">
        <f t="shared" si="2"/>
        <v>380850000</v>
      </c>
      <c r="I36" s="30"/>
      <c r="J36" s="30"/>
      <c r="K36" s="30"/>
      <c r="L36" s="30"/>
    </row>
    <row r="37" spans="1:12">
      <c r="A37" s="1243">
        <f t="shared" si="3"/>
        <v>22</v>
      </c>
      <c r="B37" s="1254" t="s">
        <v>325</v>
      </c>
      <c r="C37" s="575"/>
      <c r="D37" s="575"/>
      <c r="E37" s="575">
        <v>380850000</v>
      </c>
      <c r="F37" s="575"/>
      <c r="G37" s="575"/>
      <c r="H37" s="1253">
        <f t="shared" si="2"/>
        <v>380850000</v>
      </c>
      <c r="I37" s="30"/>
      <c r="J37" s="30"/>
      <c r="K37" s="30"/>
      <c r="L37" s="30"/>
    </row>
    <row r="38" spans="1:12">
      <c r="A38" s="1243">
        <f t="shared" si="3"/>
        <v>23</v>
      </c>
      <c r="B38" s="1254" t="s">
        <v>727</v>
      </c>
      <c r="C38" s="575"/>
      <c r="D38" s="575"/>
      <c r="E38" s="575">
        <v>380850000</v>
      </c>
      <c r="F38" s="575"/>
      <c r="G38" s="575"/>
      <c r="H38" s="1253">
        <f t="shared" si="2"/>
        <v>380850000</v>
      </c>
      <c r="I38" s="30"/>
      <c r="J38" s="30"/>
      <c r="K38" s="30"/>
      <c r="L38" s="30"/>
    </row>
    <row r="39" spans="1:12">
      <c r="A39" s="1243">
        <f t="shared" si="3"/>
        <v>24</v>
      </c>
      <c r="B39" s="1254" t="s">
        <v>328</v>
      </c>
      <c r="C39" s="575"/>
      <c r="D39" s="575"/>
      <c r="E39" s="575">
        <v>380850000</v>
      </c>
      <c r="F39" s="575"/>
      <c r="G39" s="575"/>
      <c r="H39" s="1253">
        <f t="shared" si="2"/>
        <v>380850000</v>
      </c>
      <c r="I39" s="30"/>
      <c r="J39" s="30"/>
      <c r="K39" s="30"/>
      <c r="L39" s="30"/>
    </row>
    <row r="40" spans="1:12">
      <c r="A40" s="1243">
        <f t="shared" si="3"/>
        <v>25</v>
      </c>
      <c r="B40" s="1254" t="s">
        <v>515</v>
      </c>
      <c r="C40" s="575"/>
      <c r="D40" s="575"/>
      <c r="E40" s="575">
        <v>380850000</v>
      </c>
      <c r="F40" s="575"/>
      <c r="G40" s="575"/>
      <c r="H40" s="1253">
        <f t="shared" si="2"/>
        <v>380850000</v>
      </c>
      <c r="I40" s="30"/>
      <c r="J40" s="30"/>
      <c r="K40" s="30"/>
      <c r="L40" s="30"/>
    </row>
    <row r="41" spans="1:12">
      <c r="A41" s="1243">
        <f t="shared" si="3"/>
        <v>26</v>
      </c>
      <c r="B41" s="1254" t="s">
        <v>516</v>
      </c>
      <c r="C41" s="575"/>
      <c r="D41" s="575"/>
      <c r="E41" s="575">
        <v>371750000</v>
      </c>
      <c r="F41" s="575"/>
      <c r="G41" s="575"/>
      <c r="H41" s="1253">
        <f t="shared" si="2"/>
        <v>371750000</v>
      </c>
      <c r="I41" s="30"/>
      <c r="J41" s="30"/>
      <c r="K41" s="30"/>
      <c r="L41" s="30"/>
    </row>
    <row r="42" spans="1:12">
      <c r="A42" s="1255">
        <f t="shared" si="3"/>
        <v>27</v>
      </c>
      <c r="B42" s="1256" t="s">
        <v>728</v>
      </c>
      <c r="C42" s="575">
        <v>0</v>
      </c>
      <c r="D42" s="575">
        <v>0</v>
      </c>
      <c r="E42" s="575">
        <v>371750000</v>
      </c>
      <c r="F42" s="575">
        <v>0</v>
      </c>
      <c r="G42" s="575">
        <v>0</v>
      </c>
      <c r="H42" s="1253">
        <f t="shared" si="2"/>
        <v>371750000</v>
      </c>
      <c r="I42" s="30"/>
      <c r="J42" s="30"/>
      <c r="K42" s="30"/>
      <c r="L42" s="30"/>
    </row>
    <row r="43" spans="1:12" ht="13.5" thickBot="1">
      <c r="A43" s="1257">
        <f t="shared" si="3"/>
        <v>28</v>
      </c>
      <c r="B43" s="1945" t="s">
        <v>1073</v>
      </c>
      <c r="C43" s="1946">
        <f t="shared" ref="C43:G43" si="4">SUM(C30:C42)/13</f>
        <v>0</v>
      </c>
      <c r="D43" s="1947">
        <f t="shared" si="4"/>
        <v>0</v>
      </c>
      <c r="E43" s="1947">
        <f t="shared" si="4"/>
        <v>379450000</v>
      </c>
      <c r="F43" s="1947">
        <f t="shared" si="4"/>
        <v>0</v>
      </c>
      <c r="G43" s="1947">
        <f t="shared" si="4"/>
        <v>0</v>
      </c>
      <c r="H43" s="1258">
        <f t="shared" ref="H43" si="5">AVERAGE(H30:H42)</f>
        <v>379450000</v>
      </c>
      <c r="I43" s="30"/>
      <c r="J43" s="30"/>
      <c r="K43" s="30"/>
      <c r="L43" s="30"/>
    </row>
    <row r="44" spans="1:12" ht="13.5" thickTop="1">
      <c r="A44" s="1231"/>
      <c r="B44" s="1262"/>
      <c r="C44" s="1263"/>
      <c r="D44" s="1264"/>
      <c r="E44" s="1264"/>
      <c r="F44" s="1264"/>
      <c r="G44" s="1263"/>
      <c r="H44" s="1263"/>
      <c r="I44" s="30"/>
      <c r="J44" s="30"/>
      <c r="K44" s="30"/>
      <c r="L44" s="30"/>
    </row>
    <row r="45" spans="1:12" ht="12.75" customHeight="1">
      <c r="A45" s="4" t="s">
        <v>873</v>
      </c>
      <c r="F45" s="5"/>
      <c r="G45" s="5"/>
      <c r="H45" s="5"/>
      <c r="I45" s="30"/>
      <c r="J45" s="30"/>
      <c r="K45" s="30"/>
    </row>
    <row r="46" spans="1:12">
      <c r="E46" s="5"/>
      <c r="F46" s="5"/>
      <c r="G46" s="5"/>
      <c r="H46" s="5"/>
      <c r="J46" s="1262"/>
    </row>
    <row r="47" spans="1:12" ht="15.5">
      <c r="A47" s="6" t="s">
        <v>169</v>
      </c>
      <c r="E47" s="5"/>
      <c r="F47" s="5"/>
      <c r="G47" s="5"/>
      <c r="H47" s="1235"/>
    </row>
    <row r="48" spans="1:12" ht="25.5">
      <c r="A48" s="1237" t="s">
        <v>706</v>
      </c>
      <c r="B48" s="1266" t="s">
        <v>715</v>
      </c>
      <c r="C48" s="1266" t="s">
        <v>716</v>
      </c>
      <c r="D48" s="1267" t="s">
        <v>717</v>
      </c>
      <c r="E48" s="1266" t="s">
        <v>718</v>
      </c>
      <c r="F48" s="1267" t="s">
        <v>719</v>
      </c>
      <c r="G48" s="1266" t="s">
        <v>720</v>
      </c>
      <c r="H48" s="1266" t="s">
        <v>721</v>
      </c>
    </row>
    <row r="49" spans="1:12" ht="15.5">
      <c r="A49" s="6"/>
      <c r="B49" s="1266"/>
      <c r="C49" s="1266"/>
      <c r="D49" s="1267"/>
      <c r="E49" s="1266"/>
      <c r="F49" s="1267"/>
      <c r="G49" s="1266"/>
      <c r="H49" s="1266"/>
    </row>
    <row r="50" spans="1:12">
      <c r="A50" s="7">
        <f>+A43+1</f>
        <v>29</v>
      </c>
      <c r="B50" s="8" t="str">
        <f>"Annual Interest Expense for "&amp;'OKT TCOS'!N2</f>
        <v>Annual Interest Expense for 2019</v>
      </c>
      <c r="C50" s="9"/>
      <c r="D50" s="10"/>
      <c r="E50" s="14"/>
      <c r="F50" s="14"/>
      <c r="G50" s="14"/>
      <c r="H50" s="14"/>
      <c r="I50" s="14"/>
      <c r="J50" s="14"/>
      <c r="K50" s="14"/>
      <c r="L50" s="14"/>
    </row>
    <row r="51" spans="1:12">
      <c r="A51" s="7">
        <f t="shared" ref="A51:A58" si="6">+A50+1</f>
        <v>30</v>
      </c>
      <c r="B51" s="11" t="s">
        <v>605</v>
      </c>
      <c r="C51" s="9"/>
      <c r="D51" s="10"/>
      <c r="E51" s="575">
        <v>15408920</v>
      </c>
      <c r="F51" s="14"/>
      <c r="G51" s="14"/>
      <c r="H51" s="14"/>
      <c r="I51" s="14"/>
      <c r="J51" s="14"/>
      <c r="K51" s="14"/>
      <c r="L51" s="14"/>
    </row>
    <row r="52" spans="1:12" ht="28.5" customHeight="1">
      <c r="A52" s="7">
        <f t="shared" si="6"/>
        <v>31</v>
      </c>
      <c r="B52" s="2053" t="str">
        <f>"Less: Total Hedge Gain/Expense Accumulated from p 256-257, col. (i) of FERC Form 1  included in Ln "&amp;A51&amp;" and shown in "&amp;A76&amp;" below."</f>
        <v>Less: Total Hedge Gain/Expense Accumulated from p 256-257, col. (i) of FERC Form 1  included in Ln 30 and shown in 50 below.</v>
      </c>
      <c r="C52" s="2054"/>
      <c r="D52" s="10"/>
      <c r="E52" s="9">
        <f>+C76</f>
        <v>0</v>
      </c>
      <c r="F52" s="14"/>
      <c r="G52" s="14"/>
      <c r="H52" s="14"/>
      <c r="I52" s="14"/>
      <c r="J52" s="14"/>
      <c r="K52" s="14"/>
      <c r="L52" s="14"/>
    </row>
    <row r="53" spans="1:12" ht="16.5" customHeight="1">
      <c r="A53" s="7">
        <f t="shared" si="6"/>
        <v>32</v>
      </c>
      <c r="B53" s="12" t="str">
        <f>"Plus:  Allowed Hedge Recovery From Ln "&amp;A82&amp;"  below."</f>
        <v>Plus:  Allowed Hedge Recovery From Ln 55  below.</v>
      </c>
      <c r="C53" s="49"/>
      <c r="D53" s="10"/>
      <c r="E53" s="1268">
        <f>+E82</f>
        <v>0</v>
      </c>
      <c r="F53" s="14"/>
      <c r="G53" s="14"/>
      <c r="H53" s="14"/>
      <c r="I53" s="14"/>
      <c r="J53" s="14"/>
      <c r="K53" s="14"/>
      <c r="L53" s="14"/>
    </row>
    <row r="54" spans="1:12">
      <c r="A54" s="7">
        <f t="shared" si="6"/>
        <v>33</v>
      </c>
      <c r="B54" s="11" t="s">
        <v>647</v>
      </c>
      <c r="C54" s="13"/>
      <c r="D54" s="14"/>
      <c r="E54" s="575">
        <v>215337.78</v>
      </c>
      <c r="F54" s="14"/>
      <c r="G54" s="14"/>
      <c r="H54" s="14"/>
      <c r="I54" s="14"/>
      <c r="J54" s="14"/>
    </row>
    <row r="55" spans="1:12">
      <c r="A55" s="7">
        <f t="shared" si="6"/>
        <v>34</v>
      </c>
      <c r="B55" s="11" t="s">
        <v>648</v>
      </c>
      <c r="C55" s="15"/>
      <c r="D55" s="10"/>
      <c r="E55" s="575">
        <v>0</v>
      </c>
      <c r="F55" s="14"/>
      <c r="G55" s="14"/>
      <c r="H55" s="14"/>
      <c r="I55" s="14"/>
      <c r="J55" s="14"/>
    </row>
    <row r="56" spans="1:12">
      <c r="A56" s="7">
        <f t="shared" si="6"/>
        <v>35</v>
      </c>
      <c r="B56" s="11" t="s">
        <v>649</v>
      </c>
      <c r="C56" s="15"/>
      <c r="D56" s="10"/>
      <c r="E56" s="575">
        <v>12706.92</v>
      </c>
      <c r="F56" s="14"/>
      <c r="G56" s="14"/>
      <c r="H56" s="14"/>
      <c r="I56" s="14"/>
      <c r="J56" s="14"/>
    </row>
    <row r="57" spans="1:12">
      <c r="A57" s="7">
        <f t="shared" si="6"/>
        <v>36</v>
      </c>
      <c r="B57" s="11" t="s">
        <v>650</v>
      </c>
      <c r="C57" s="15"/>
      <c r="D57" s="10"/>
      <c r="E57" s="575">
        <v>0</v>
      </c>
      <c r="F57" s="14"/>
      <c r="G57" s="14"/>
      <c r="H57" s="14"/>
      <c r="I57" s="14"/>
      <c r="J57" s="14"/>
    </row>
    <row r="58" spans="1:12">
      <c r="A58" s="7">
        <f t="shared" si="6"/>
        <v>37</v>
      </c>
      <c r="B58" s="8" t="str">
        <f>"Total Interest Expense (Ln "&amp;A51&amp;" - "&amp;A52&amp;" + "&amp;A54&amp;" + "&amp;A55&amp;" - "&amp;A56&amp;" - "&amp;A57&amp;")"</f>
        <v>Total Interest Expense (Ln 30 - 31 + 33 + 34 - 35 - 36)</v>
      </c>
      <c r="C58" s="16"/>
      <c r="D58" s="17"/>
      <c r="E58" s="44">
        <f>+E51-E52+E53+E54+E55-E56-E57</f>
        <v>15611550.859999999</v>
      </c>
      <c r="F58" s="14"/>
      <c r="G58" s="14"/>
      <c r="H58" s="14"/>
      <c r="I58" s="14"/>
      <c r="J58" s="14"/>
    </row>
    <row r="59" spans="1:12" ht="13.5" thickBot="1">
      <c r="A59" s="7"/>
      <c r="B59" s="19"/>
      <c r="C59" s="15"/>
      <c r="D59" s="10"/>
      <c r="E59" s="18"/>
      <c r="F59" s="14"/>
      <c r="G59" s="14"/>
      <c r="H59" s="14"/>
      <c r="I59" s="14"/>
      <c r="J59" s="14"/>
    </row>
    <row r="60" spans="1:12" ht="13.5" thickBot="1">
      <c r="A60" s="7">
        <f>+A58+1</f>
        <v>38</v>
      </c>
      <c r="B60" s="8" t="str">
        <f>"Average Cost of Debt for "&amp;'OKT TCOS'!N2&amp;" (Ln "&amp;A58&amp;"/ ln "&amp;A43&amp;" (g))"</f>
        <v>Average Cost of Debt for 2019 (Ln 37/ ln 28 (g))</v>
      </c>
      <c r="C60" s="16"/>
      <c r="D60" s="10"/>
      <c r="E60" s="20">
        <f>IF(ISERROR(+E58/H43),0,E58/H43)</f>
        <v>4.114257704572407E-2</v>
      </c>
      <c r="F60" s="14"/>
      <c r="G60" s="14"/>
      <c r="H60" s="14"/>
      <c r="I60" s="14"/>
      <c r="J60" s="14"/>
    </row>
    <row r="61" spans="1:12">
      <c r="A61" s="21"/>
      <c r="B61" s="19"/>
      <c r="C61" s="15"/>
      <c r="D61" s="10"/>
      <c r="E61" s="15"/>
      <c r="F61" s="14"/>
      <c r="G61" s="14"/>
      <c r="H61" s="14"/>
      <c r="I61" s="14"/>
      <c r="J61" s="14"/>
    </row>
    <row r="62" spans="1:12" s="25" customFormat="1" ht="28.5" customHeight="1">
      <c r="A62" s="22"/>
      <c r="B62" s="2055" t="s">
        <v>874</v>
      </c>
      <c r="C62" s="2055"/>
      <c r="D62" s="2055"/>
      <c r="E62" s="2055"/>
      <c r="F62" s="23"/>
      <c r="G62" s="24"/>
    </row>
    <row r="63" spans="1:12" s="25" customFormat="1" ht="65.25" customHeight="1">
      <c r="A63" s="46">
        <f>+A60+1</f>
        <v>39</v>
      </c>
      <c r="B63" s="2052" t="s">
        <v>875</v>
      </c>
      <c r="C63" s="2052"/>
      <c r="D63" s="2052"/>
      <c r="E63" s="2052"/>
      <c r="F63" s="2052"/>
      <c r="G63" s="2052"/>
      <c r="H63" s="2052"/>
    </row>
    <row r="64" spans="1:12" s="25" customFormat="1" ht="12" customHeight="1">
      <c r="A64" s="22"/>
      <c r="B64" s="26"/>
      <c r="C64" s="26"/>
      <c r="D64" s="26"/>
      <c r="E64" s="26"/>
      <c r="F64" s="24"/>
      <c r="G64" s="2056" t="s">
        <v>876</v>
      </c>
      <c r="H64" s="2056"/>
    </row>
    <row r="65" spans="1:10" s="25" customFormat="1" ht="52.5" customHeight="1">
      <c r="A65" s="7"/>
      <c r="B65" s="28" t="s">
        <v>877</v>
      </c>
      <c r="C65" s="50" t="str">
        <f>"Total Hedge (Gain)/Loss for "&amp;'OKT TCOS'!N2</f>
        <v>Total Hedge (Gain)/Loss for 2019</v>
      </c>
      <c r="D65" s="50" t="str">
        <f>"Less Excludable Amounts (See NOTE on Line "&amp;A63&amp;")"</f>
        <v>Less Excludable Amounts (See NOTE on Line 39)</v>
      </c>
      <c r="E65" s="50" t="s">
        <v>878</v>
      </c>
      <c r="F65" s="50" t="s">
        <v>879</v>
      </c>
      <c r="G65" s="50" t="s">
        <v>461</v>
      </c>
      <c r="H65" s="50" t="s">
        <v>463</v>
      </c>
    </row>
    <row r="66" spans="1:10" s="25" customFormat="1" ht="12.75" customHeight="1">
      <c r="A66" s="7">
        <f>+A63+1</f>
        <v>40</v>
      </c>
      <c r="B66" s="1269"/>
      <c r="C66" s="1270"/>
      <c r="D66" s="575">
        <v>0</v>
      </c>
      <c r="E66" s="29">
        <f t="shared" ref="E66:E74" si="7">+C66-D66</f>
        <v>0</v>
      </c>
      <c r="F66" s="575"/>
      <c r="G66" s="575"/>
      <c r="H66" s="575"/>
      <c r="I66" s="30"/>
      <c r="J66" s="30"/>
    </row>
    <row r="67" spans="1:10" s="25" customFormat="1" ht="12.75" customHeight="1">
      <c r="A67" s="7">
        <f t="shared" ref="A67:A76" si="8">+A66+1</f>
        <v>41</v>
      </c>
      <c r="B67" s="1269"/>
      <c r="C67" s="1270"/>
      <c r="D67" s="575">
        <v>0</v>
      </c>
      <c r="E67" s="29">
        <f t="shared" si="7"/>
        <v>0</v>
      </c>
      <c r="F67" s="575"/>
      <c r="G67" s="575"/>
      <c r="H67" s="575"/>
    </row>
    <row r="68" spans="1:10" s="25" customFormat="1" ht="12.75" customHeight="1">
      <c r="A68" s="7">
        <f t="shared" si="8"/>
        <v>42</v>
      </c>
      <c r="B68" s="575"/>
      <c r="C68" s="575"/>
      <c r="D68" s="575"/>
      <c r="E68" s="29">
        <f t="shared" si="7"/>
        <v>0</v>
      </c>
      <c r="F68" s="575"/>
      <c r="G68" s="575"/>
      <c r="H68" s="575"/>
    </row>
    <row r="69" spans="1:10" s="25" customFormat="1" ht="12.75" customHeight="1">
      <c r="A69" s="7">
        <f t="shared" si="8"/>
        <v>43</v>
      </c>
      <c r="B69" s="575"/>
      <c r="C69" s="575"/>
      <c r="D69" s="575"/>
      <c r="E69" s="29">
        <f t="shared" si="7"/>
        <v>0</v>
      </c>
      <c r="F69" s="575"/>
      <c r="G69" s="575"/>
      <c r="H69" s="575"/>
    </row>
    <row r="70" spans="1:10" s="25" customFormat="1" ht="12.75" customHeight="1">
      <c r="A70" s="7">
        <f t="shared" si="8"/>
        <v>44</v>
      </c>
      <c r="B70" s="575"/>
      <c r="C70" s="575"/>
      <c r="D70" s="575"/>
      <c r="E70" s="29">
        <f t="shared" si="7"/>
        <v>0</v>
      </c>
      <c r="F70" s="575"/>
      <c r="G70" s="575"/>
      <c r="H70" s="575"/>
    </row>
    <row r="71" spans="1:10" s="25" customFormat="1" ht="12.75" customHeight="1">
      <c r="A71" s="7">
        <f t="shared" si="8"/>
        <v>45</v>
      </c>
      <c r="B71" s="575"/>
      <c r="C71" s="575"/>
      <c r="D71" s="575"/>
      <c r="E71" s="29">
        <f t="shared" si="7"/>
        <v>0</v>
      </c>
      <c r="F71" s="575"/>
      <c r="G71" s="575"/>
      <c r="H71" s="575"/>
    </row>
    <row r="72" spans="1:10" s="25" customFormat="1" ht="12.75" customHeight="1">
      <c r="A72" s="7">
        <f t="shared" si="8"/>
        <v>46</v>
      </c>
      <c r="B72" s="575"/>
      <c r="C72" s="575"/>
      <c r="D72" s="575"/>
      <c r="E72" s="29">
        <f t="shared" si="7"/>
        <v>0</v>
      </c>
      <c r="F72" s="575"/>
      <c r="G72" s="575"/>
      <c r="H72" s="575"/>
    </row>
    <row r="73" spans="1:10" s="25" customFormat="1" ht="12.75" customHeight="1">
      <c r="A73" s="7">
        <f t="shared" si="8"/>
        <v>47</v>
      </c>
      <c r="B73" s="575"/>
      <c r="C73" s="575"/>
      <c r="D73" s="575"/>
      <c r="E73" s="29">
        <f t="shared" si="7"/>
        <v>0</v>
      </c>
      <c r="F73" s="575"/>
      <c r="G73" s="575"/>
      <c r="H73" s="575"/>
    </row>
    <row r="74" spans="1:10" s="25" customFormat="1" ht="12.75" customHeight="1">
      <c r="A74" s="7">
        <f t="shared" si="8"/>
        <v>48</v>
      </c>
      <c r="B74" s="575"/>
      <c r="C74" s="575"/>
      <c r="D74" s="575"/>
      <c r="E74" s="29">
        <f t="shared" si="7"/>
        <v>0</v>
      </c>
      <c r="F74" s="575"/>
      <c r="G74" s="575"/>
      <c r="H74" s="575"/>
    </row>
    <row r="75" spans="1:10" s="25" customFormat="1" ht="12.75" customHeight="1">
      <c r="A75" s="7">
        <f t="shared" si="8"/>
        <v>49</v>
      </c>
      <c r="B75" s="31"/>
      <c r="C75" s="32"/>
      <c r="D75" s="32"/>
      <c r="E75" s="33"/>
      <c r="F75" s="29">
        <f>SUM(F66:F74)</f>
        <v>0</v>
      </c>
      <c r="G75" s="24"/>
    </row>
    <row r="76" spans="1:10" s="25" customFormat="1" ht="12.75" customHeight="1">
      <c r="A76" s="7">
        <f t="shared" si="8"/>
        <v>50</v>
      </c>
      <c r="B76" s="19" t="s">
        <v>170</v>
      </c>
      <c r="C76" s="18">
        <f>SUM(C66:C74)</f>
        <v>0</v>
      </c>
      <c r="D76" s="18">
        <f>SUM(D66:D74)</f>
        <v>0</v>
      </c>
      <c r="F76" s="24"/>
      <c r="G76" s="24"/>
    </row>
    <row r="77" spans="1:10" s="25" customFormat="1" ht="21" customHeight="1">
      <c r="A77" s="7"/>
      <c r="B77" s="19"/>
      <c r="C77" s="18"/>
      <c r="D77" s="18"/>
      <c r="E77" s="18"/>
      <c r="F77" s="24"/>
      <c r="G77" s="24"/>
    </row>
    <row r="78" spans="1:10" s="25" customFormat="1" ht="14.25" customHeight="1">
      <c r="A78" s="7">
        <f>+A76+1</f>
        <v>51</v>
      </c>
      <c r="B78" s="19" t="str">
        <f>"Hedge Gain or Loss Prior to Application of Recovery Limit (Sum of Lines "&amp;A66&amp;" to "&amp;A74&amp;")"</f>
        <v>Hedge Gain or Loss Prior to Application of Recovery Limit (Sum of Lines 40 to 48)</v>
      </c>
      <c r="C78" s="18"/>
      <c r="D78" s="18"/>
      <c r="E78" s="18">
        <f>SUM(E66:E74)</f>
        <v>0</v>
      </c>
      <c r="F78" s="24"/>
      <c r="G78" s="24"/>
    </row>
    <row r="79" spans="1:10" s="25" customFormat="1" ht="12.75" customHeight="1">
      <c r="A79" s="7">
        <f>+A78+1</f>
        <v>52</v>
      </c>
      <c r="B79" s="34" t="str">
        <f>"Total Average Capital Structure Balance for "&amp;'OKT TCOS'!N2&amp;" (TCOS, Ln "&amp;'OKT TCOS'!B238&amp;")"</f>
        <v>Total Average Capital Structure Balance for 2019 (TCOS, Ln 144)</v>
      </c>
      <c r="C79" s="15"/>
      <c r="D79" s="10"/>
      <c r="E79" s="35">
        <f>+'OKT TCOS'!E238</f>
        <v>858587975.13761532</v>
      </c>
      <c r="F79" s="24"/>
      <c r="G79" s="24"/>
      <c r="H79" s="36"/>
    </row>
    <row r="80" spans="1:10" s="25" customFormat="1" ht="12.75" customHeight="1">
      <c r="A80" s="7">
        <f>+A79+1</f>
        <v>53</v>
      </c>
      <c r="B80" s="19" t="s">
        <v>171</v>
      </c>
      <c r="C80" s="15"/>
      <c r="D80" s="10"/>
      <c r="E80" s="37">
        <v>5.0000000000000001E-4</v>
      </c>
      <c r="F80" s="24"/>
      <c r="G80" s="38"/>
    </row>
    <row r="81" spans="1:7" s="25" customFormat="1" ht="12.75" customHeight="1" thickBot="1">
      <c r="A81" s="7">
        <f>+A80+1</f>
        <v>54</v>
      </c>
      <c r="B81" s="19" t="s">
        <v>172</v>
      </c>
      <c r="C81" s="15"/>
      <c r="D81" s="10"/>
      <c r="E81" s="39">
        <f>+E79*E80</f>
        <v>429293.98756880767</v>
      </c>
      <c r="F81" s="24"/>
      <c r="G81" s="24"/>
    </row>
    <row r="82" spans="1:7" s="25" customFormat="1" ht="12.75" customHeight="1" thickBot="1">
      <c r="A82" s="7">
        <f>+A81+1</f>
        <v>55</v>
      </c>
      <c r="B82" s="8" t="str">
        <f>"Recoverable Hedge Amortization (Lesser of Ln "&amp;A78&amp;" or Ln "&amp;A81&amp;")"</f>
        <v>Recoverable Hedge Amortization (Lesser of Ln 51 or Ln 54)</v>
      </c>
      <c r="C82" s="15"/>
      <c r="D82" s="10"/>
      <c r="E82" s="40">
        <f>+IF(E81&lt;E78,E81,E78)</f>
        <v>0</v>
      </c>
      <c r="F82" s="24"/>
      <c r="G82" s="24"/>
    </row>
    <row r="83" spans="1:7" s="25" customFormat="1" ht="12.75" customHeight="1">
      <c r="A83" s="7"/>
      <c r="B83" s="19"/>
      <c r="C83" s="15"/>
      <c r="D83" s="10"/>
      <c r="E83" s="15"/>
      <c r="F83" s="24"/>
      <c r="G83" s="24"/>
    </row>
    <row r="84" spans="1:7" s="25" customFormat="1" ht="12.75" customHeight="1">
      <c r="A84" s="41" t="s">
        <v>173</v>
      </c>
      <c r="B84" s="42"/>
      <c r="C84" s="15"/>
      <c r="D84" s="10"/>
      <c r="E84" s="15"/>
      <c r="F84" s="24"/>
      <c r="G84" s="24"/>
    </row>
    <row r="85" spans="1:7" s="25" customFormat="1" ht="12.75" customHeight="1">
      <c r="A85" s="27"/>
      <c r="B85" s="10"/>
      <c r="C85" s="9"/>
      <c r="D85" s="9"/>
      <c r="E85" s="24"/>
      <c r="F85" s="24"/>
      <c r="G85" s="24"/>
    </row>
    <row r="86" spans="1:7" s="25" customFormat="1" ht="12.75" customHeight="1">
      <c r="A86" s="7">
        <f>+A82+1</f>
        <v>56</v>
      </c>
      <c r="B86" s="10" t="str">
        <f>"Beginning/Ending Average Balance of Preferred Stock (Ln "&amp;A24&amp;" Col. "&amp;D9&amp;")"</f>
        <v>Beginning/Ending Average Balance of Preferred Stock (Ln 14 Col. (c))</v>
      </c>
      <c r="C86" s="132"/>
      <c r="D86" s="132"/>
      <c r="E86" s="43">
        <f>+D24</f>
        <v>0</v>
      </c>
      <c r="F86" s="10"/>
      <c r="G86" s="24"/>
    </row>
    <row r="87" spans="1:7" s="25" customFormat="1" ht="12.75" customHeight="1" thickBot="1">
      <c r="A87" s="7">
        <f>+A86+1</f>
        <v>57</v>
      </c>
      <c r="B87" s="10" t="s">
        <v>880</v>
      </c>
      <c r="C87" s="132"/>
      <c r="D87" s="132"/>
      <c r="E87" s="575">
        <v>0</v>
      </c>
      <c r="F87" s="24"/>
      <c r="G87" s="24"/>
    </row>
    <row r="88" spans="1:7" s="25" customFormat="1" ht="12.75" customHeight="1" thickBot="1">
      <c r="A88" s="7">
        <f>+A87+1</f>
        <v>58</v>
      </c>
      <c r="B88" s="45" t="str">
        <f>"Average Cost of Preferred Stock (Ln "&amp;A87&amp;"/ Ln "&amp;A86&amp;")"</f>
        <v>Average Cost of Preferred Stock (Ln 57/ Ln 56)</v>
      </c>
      <c r="C88" s="132"/>
      <c r="D88" s="132"/>
      <c r="E88" s="20">
        <f>IF(E86=0,0,+E87/E86)</f>
        <v>0</v>
      </c>
      <c r="F88" s="24"/>
      <c r="G88" s="24"/>
    </row>
    <row r="89" spans="1:7">
      <c r="C89" s="132"/>
      <c r="D89" s="132"/>
    </row>
    <row r="130" spans="7:7">
      <c r="G130" s="1230" t="s">
        <v>253</v>
      </c>
    </row>
    <row r="147" spans="7:12">
      <c r="G147" s="1271"/>
      <c r="L147" s="1271"/>
    </row>
  </sheetData>
  <mergeCells count="10">
    <mergeCell ref="B63:H63"/>
    <mergeCell ref="B52:C52"/>
    <mergeCell ref="B62:E62"/>
    <mergeCell ref="G64:H64"/>
    <mergeCell ref="A2:H2"/>
    <mergeCell ref="A3:H3"/>
    <mergeCell ref="C7:G7"/>
    <mergeCell ref="C26:H26"/>
    <mergeCell ref="A4:H4"/>
    <mergeCell ref="A5:H5"/>
  </mergeCells>
  <pageMargins left="0.7" right="0.7" top="0.75" bottom="0.75" header="0.3" footer="0.3"/>
  <pageSetup scale="65" fitToHeight="0" orientation="landscape" cellComments="asDisplayed" r:id="rId1"/>
  <headerFooter>
    <oddHeader xml:space="preserve">&amp;RAEP - SPP Transco Formula Rate
TCOS - WS M 
Page: &amp;P of &amp;N
</oddHeader>
  </headerFooter>
  <rowBreaks count="1" manualBreakCount="1">
    <brk id="45" max="7"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Normal="100" workbookViewId="0">
      <selection activeCell="B11" sqref="B11"/>
    </sheetView>
  </sheetViews>
  <sheetFormatPr defaultColWidth="9.1796875" defaultRowHeight="12.5"/>
  <cols>
    <col min="1" max="1" width="1.7265625" style="397" customWidth="1"/>
    <col min="2" max="2" width="25.1796875" style="397" customWidth="1"/>
    <col min="3" max="3" width="1.7265625" style="397" customWidth="1"/>
    <col min="4" max="4" width="21.26953125" style="397" customWidth="1"/>
    <col min="5" max="5" width="1.7265625" style="397" customWidth="1"/>
    <col min="6" max="6" width="22.26953125" style="397" customWidth="1"/>
    <col min="7" max="7" width="1.7265625" style="397" customWidth="1"/>
    <col min="8" max="8" width="17.26953125" style="397" customWidth="1"/>
    <col min="9" max="9" width="1.7265625" style="397" customWidth="1"/>
    <col min="10" max="10" width="15.54296875" style="397" customWidth="1"/>
    <col min="11" max="11" width="1.7265625" style="397" customWidth="1"/>
    <col min="12" max="12" width="15.81640625" style="397" customWidth="1"/>
    <col min="13" max="13" width="1.7265625" style="397" customWidth="1"/>
    <col min="14" max="14" width="13.54296875" style="397" customWidth="1"/>
    <col min="15" max="15" width="1.7265625" style="397" customWidth="1"/>
    <col min="16" max="16" width="14.1796875" style="397" customWidth="1"/>
    <col min="17" max="17" width="1.7265625" style="397" customWidth="1"/>
    <col min="18" max="18" width="14.453125" style="397" customWidth="1"/>
    <col min="19" max="19" width="7.7265625" style="397" bestFit="1" customWidth="1"/>
    <col min="20" max="20" width="3" style="397" hidden="1" customWidth="1"/>
    <col min="21" max="16384" width="9.1796875" style="397"/>
  </cols>
  <sheetData>
    <row r="1" spans="1:18" ht="15.5">
      <c r="A1" s="1272"/>
    </row>
    <row r="2" spans="1:18" ht="15.5">
      <c r="A2" s="1273"/>
    </row>
    <row r="3" spans="1:18" ht="15.5">
      <c r="A3" s="1273"/>
    </row>
    <row r="4" spans="1:18" ht="15.5">
      <c r="B4" s="2064" t="str">
        <f>+'OKT TCOS'!F4</f>
        <v xml:space="preserve">AEP West SPP Member Transmission Companies </v>
      </c>
      <c r="C4" s="2064"/>
      <c r="D4" s="2064"/>
      <c r="E4" s="2064"/>
      <c r="F4" s="2064"/>
      <c r="G4" s="2064"/>
      <c r="H4" s="2064"/>
      <c r="I4" s="2064"/>
      <c r="J4" s="2064"/>
      <c r="K4" s="2064"/>
      <c r="L4" s="2064"/>
      <c r="M4" s="2064"/>
      <c r="N4" s="2064"/>
      <c r="O4" s="2064"/>
      <c r="P4" s="2064"/>
      <c r="Q4" s="2064"/>
      <c r="R4" s="2064"/>
    </row>
    <row r="5" spans="1:18" ht="15.5">
      <c r="B5" s="2065" t="str">
        <f>+'OKT WS A-1 - Plant'!A3</f>
        <v xml:space="preserve">Actual / Projected 2019 Rate Year Cost of Service Formula Rate </v>
      </c>
      <c r="C5" s="2065"/>
      <c r="D5" s="2065"/>
      <c r="E5" s="2065"/>
      <c r="F5" s="2065"/>
      <c r="G5" s="2065"/>
      <c r="H5" s="2065"/>
      <c r="I5" s="2065"/>
      <c r="J5" s="2065"/>
      <c r="K5" s="2065"/>
      <c r="L5" s="2065"/>
      <c r="M5" s="2065"/>
      <c r="N5" s="2065"/>
      <c r="O5" s="2065"/>
      <c r="P5" s="2065"/>
      <c r="Q5" s="2065"/>
      <c r="R5" s="2065"/>
    </row>
    <row r="6" spans="1:18" ht="15.5">
      <c r="B6" s="2065" t="s">
        <v>682</v>
      </c>
      <c r="C6" s="2065"/>
      <c r="D6" s="2065"/>
      <c r="E6" s="2065"/>
      <c r="F6" s="2065"/>
      <c r="G6" s="2065"/>
      <c r="H6" s="2065"/>
      <c r="I6" s="2065"/>
      <c r="J6" s="2065"/>
      <c r="K6" s="2065"/>
      <c r="L6" s="2065"/>
      <c r="M6" s="2065"/>
      <c r="N6" s="2065"/>
      <c r="O6" s="2065"/>
      <c r="P6" s="2065"/>
      <c r="Q6" s="2065"/>
      <c r="R6" s="2065"/>
    </row>
    <row r="7" spans="1:18" ht="15.5">
      <c r="B7" s="2025" t="str">
        <f>+'OKT TCOS'!F8</f>
        <v>AEP OKLAHOMA TRANSMISSION COMPANY, INC.</v>
      </c>
      <c r="C7" s="2065"/>
      <c r="D7" s="2065"/>
      <c r="E7" s="2065"/>
      <c r="F7" s="2065"/>
      <c r="G7" s="2065"/>
      <c r="H7" s="2065"/>
      <c r="I7" s="2065"/>
      <c r="J7" s="2065"/>
      <c r="K7" s="2065"/>
      <c r="L7" s="2065"/>
      <c r="M7" s="2065"/>
      <c r="N7" s="2065"/>
      <c r="O7" s="2065"/>
      <c r="P7" s="2065"/>
      <c r="Q7" s="2065"/>
      <c r="R7" s="2065"/>
    </row>
    <row r="8" spans="1:18" ht="16" thickBot="1">
      <c r="B8" s="1274"/>
      <c r="C8" s="1275"/>
      <c r="D8" s="1275"/>
      <c r="E8" s="1275"/>
      <c r="F8" s="1275"/>
      <c r="G8" s="1275"/>
      <c r="H8" s="1275"/>
      <c r="I8" s="1275"/>
      <c r="J8" s="1275"/>
      <c r="K8" s="1275"/>
      <c r="P8" s="1275"/>
      <c r="Q8" s="1275"/>
      <c r="R8" s="1275"/>
    </row>
    <row r="9" spans="1:18" ht="60.75" customHeight="1">
      <c r="B9" s="1276" t="str">
        <f>"True up Revenue Requirement For Year "&amp;J9&amp;" Available May, "&amp;J10&amp;" Net of Schedule 11 Revenue Credits"</f>
        <v>True up Revenue Requirement For Year 2019 Available May, 2020 Net of Schedule 11 Revenue Credits</v>
      </c>
      <c r="C9" s="1275"/>
      <c r="D9" s="1276" t="s">
        <v>927</v>
      </c>
      <c r="E9" s="1277"/>
      <c r="F9" s="1278" t="s">
        <v>683</v>
      </c>
      <c r="G9" s="407"/>
      <c r="H9" s="1279" t="s">
        <v>684</v>
      </c>
      <c r="I9" s="1275"/>
      <c r="J9" s="1280">
        <f>+'OKT TCOS'!N2</f>
        <v>2019</v>
      </c>
      <c r="K9" s="1275"/>
      <c r="P9" s="407"/>
      <c r="Q9" s="407"/>
      <c r="R9" s="407"/>
    </row>
    <row r="10" spans="1:18" ht="15.5">
      <c r="B10" s="1281" t="s">
        <v>253</v>
      </c>
      <c r="C10" s="1275"/>
      <c r="D10" s="1281"/>
      <c r="E10" s="1277"/>
      <c r="F10" s="1282"/>
      <c r="G10" s="407"/>
      <c r="H10" s="1283" t="s">
        <v>685</v>
      </c>
      <c r="I10" s="1284"/>
      <c r="J10" s="1285">
        <f>J9+1</f>
        <v>2020</v>
      </c>
      <c r="P10" s="407"/>
      <c r="Q10" s="407"/>
      <c r="R10" s="407"/>
    </row>
    <row r="11" spans="1:18" ht="16" thickBot="1">
      <c r="B11" s="1286">
        <v>39138830.897015929</v>
      </c>
      <c r="C11" s="1287" t="s">
        <v>686</v>
      </c>
      <c r="D11" s="1286">
        <v>39599309.792263761</v>
      </c>
      <c r="E11" s="1288" t="s">
        <v>687</v>
      </c>
      <c r="F11" s="1289">
        <f>IF(B11=0,0,D11-B11)</f>
        <v>460478.89524783194</v>
      </c>
      <c r="G11" s="1290"/>
      <c r="H11" s="1291" t="s">
        <v>688</v>
      </c>
      <c r="I11" s="1292"/>
      <c r="J11" s="1293">
        <f>J10+1</f>
        <v>2021</v>
      </c>
      <c r="P11" s="407"/>
      <c r="Q11" s="407"/>
      <c r="R11" s="407"/>
    </row>
    <row r="12" spans="1:18" ht="15.5">
      <c r="B12" s="1292"/>
      <c r="C12" s="1294"/>
      <c r="D12" s="1292"/>
      <c r="E12" s="1292"/>
      <c r="F12" s="1292"/>
      <c r="G12" s="1292"/>
      <c r="H12" s="407"/>
      <c r="I12" s="407"/>
      <c r="P12" s="407"/>
      <c r="Q12" s="407"/>
      <c r="R12" s="407"/>
    </row>
    <row r="13" spans="1:18" ht="16" thickBot="1">
      <c r="B13" s="1295"/>
      <c r="C13" s="1296"/>
      <c r="D13" s="1297"/>
      <c r="E13" s="1295"/>
      <c r="F13" s="1295"/>
      <c r="G13" s="1295"/>
      <c r="H13" s="1295"/>
      <c r="I13" s="1295"/>
      <c r="J13" s="1295"/>
      <c r="K13" s="1295"/>
      <c r="L13" s="1295"/>
      <c r="M13" s="1295"/>
      <c r="N13" s="1298"/>
      <c r="O13" s="1298"/>
      <c r="P13" s="1298"/>
      <c r="Q13" s="1298"/>
      <c r="R13" s="1298"/>
    </row>
    <row r="14" spans="1:18" ht="15.5">
      <c r="B14" s="1299"/>
      <c r="C14" s="1294"/>
      <c r="D14" s="1292"/>
      <c r="E14" s="1292"/>
      <c r="F14" s="1292"/>
      <c r="G14" s="1292"/>
      <c r="H14" s="1292"/>
      <c r="I14" s="1292"/>
      <c r="J14" s="1292"/>
      <c r="K14" s="1292"/>
      <c r="L14" s="1292"/>
      <c r="M14" s="1292"/>
      <c r="N14" s="407"/>
      <c r="O14" s="407"/>
      <c r="P14" s="407"/>
      <c r="Q14" s="407"/>
      <c r="R14" s="407"/>
    </row>
    <row r="15" spans="1:18" ht="62">
      <c r="B15" s="1300" t="s">
        <v>689</v>
      </c>
      <c r="C15" s="1294"/>
      <c r="D15" s="1301" t="s">
        <v>690</v>
      </c>
      <c r="E15" s="1301"/>
      <c r="F15" s="1301" t="s">
        <v>691</v>
      </c>
      <c r="G15" s="1301"/>
      <c r="H15" s="1301" t="s">
        <v>692</v>
      </c>
      <c r="I15" s="1292"/>
      <c r="J15" s="1302" t="s">
        <v>693</v>
      </c>
      <c r="K15" s="1292"/>
      <c r="L15" s="1301" t="s">
        <v>910</v>
      </c>
      <c r="M15" s="1303"/>
      <c r="N15" s="1302" t="s">
        <v>694</v>
      </c>
      <c r="O15" s="1302"/>
      <c r="P15" s="1301" t="s">
        <v>695</v>
      </c>
      <c r="Q15" s="1304"/>
      <c r="R15" s="1301" t="s">
        <v>696</v>
      </c>
    </row>
    <row r="16" spans="1:18" ht="15.5">
      <c r="B16" s="1305"/>
      <c r="C16" s="1294"/>
      <c r="D16" s="407"/>
      <c r="E16" s="407"/>
      <c r="F16" s="407"/>
      <c r="G16" s="407"/>
      <c r="H16" s="407"/>
      <c r="I16" s="1306"/>
      <c r="J16" s="1306"/>
      <c r="K16" s="1306"/>
      <c r="N16" s="407"/>
      <c r="O16" s="407"/>
      <c r="P16" s="407"/>
      <c r="Q16" s="407"/>
      <c r="R16" s="407"/>
    </row>
    <row r="17" spans="2:20" ht="15.5">
      <c r="B17" s="1307" t="s">
        <v>697</v>
      </c>
      <c r="C17" s="1294"/>
      <c r="D17" s="1294"/>
      <c r="E17" s="1294"/>
      <c r="F17" s="1294"/>
      <c r="G17" s="1294"/>
      <c r="H17" s="1294"/>
      <c r="I17" s="1294"/>
      <c r="J17" s="1294"/>
      <c r="K17" s="1294"/>
      <c r="L17" s="407"/>
      <c r="M17" s="407"/>
      <c r="N17" s="1303"/>
      <c r="O17" s="1303"/>
      <c r="P17" s="1294"/>
      <c r="Q17" s="1294"/>
      <c r="R17" s="1294"/>
    </row>
    <row r="18" spans="2:20" ht="15.5">
      <c r="B18" s="1308" t="s">
        <v>125</v>
      </c>
      <c r="C18" s="1294"/>
      <c r="D18" s="1294"/>
      <c r="E18" s="1294"/>
      <c r="F18" s="1294"/>
      <c r="G18" s="1294"/>
      <c r="H18" s="1294"/>
      <c r="I18" s="1294"/>
      <c r="J18" s="1294"/>
      <c r="K18" s="1294"/>
      <c r="L18" s="407"/>
      <c r="M18" s="407"/>
      <c r="N18" s="1303"/>
      <c r="O18" s="1303"/>
      <c r="P18" s="1294"/>
      <c r="Q18" s="1294"/>
      <c r="R18" s="1294"/>
    </row>
    <row r="19" spans="2:20" ht="15.5">
      <c r="B19" s="1309">
        <f t="shared" ref="B19:B30" si="0">DATE($J$9,T19,1)</f>
        <v>43466</v>
      </c>
      <c r="C19" s="1275"/>
      <c r="D19" s="1310">
        <f>F11/12</f>
        <v>38373.241270652659</v>
      </c>
      <c r="E19" s="1311"/>
      <c r="F19" s="1310">
        <v>0</v>
      </c>
      <c r="G19" s="1310"/>
      <c r="H19" s="1310">
        <v>0</v>
      </c>
      <c r="I19" s="1310"/>
      <c r="J19" s="1310">
        <f>F19+H19</f>
        <v>0</v>
      </c>
      <c r="K19" s="1311"/>
      <c r="L19" s="1312">
        <f>+'OKT WS Q Interest Rate'!E13</f>
        <v>4.4000000000000003E-3</v>
      </c>
      <c r="M19" s="1313"/>
      <c r="N19" s="1310">
        <f t="shared" ref="N19:N30" si="1">J19*L19</f>
        <v>0</v>
      </c>
      <c r="O19" s="1310"/>
      <c r="P19" s="1310"/>
      <c r="Q19" s="1310"/>
      <c r="R19" s="1310">
        <f>D19+N19</f>
        <v>38373.241270652659</v>
      </c>
      <c r="T19" s="397">
        <v>1</v>
      </c>
    </row>
    <row r="20" spans="2:20" ht="15.5">
      <c r="B20" s="1309">
        <f t="shared" si="0"/>
        <v>43497</v>
      </c>
      <c r="C20" s="1275"/>
      <c r="D20" s="1310">
        <f>+D19</f>
        <v>38373.241270652659</v>
      </c>
      <c r="E20" s="1311"/>
      <c r="F20" s="1310">
        <f>D19</f>
        <v>38373.241270652659</v>
      </c>
      <c r="G20" s="1310"/>
      <c r="H20" s="1310">
        <v>0</v>
      </c>
      <c r="I20" s="1310"/>
      <c r="J20" s="1310">
        <f t="shared" ref="J20:J29" si="2">F20+H20</f>
        <v>38373.241270652659</v>
      </c>
      <c r="K20" s="1311"/>
      <c r="L20" s="1312">
        <f>+'OKT WS Q Interest Rate'!E14</f>
        <v>4.0000000000000001E-3</v>
      </c>
      <c r="M20" s="1313"/>
      <c r="N20" s="1310">
        <f t="shared" si="1"/>
        <v>153.49296508261065</v>
      </c>
      <c r="O20" s="1310"/>
      <c r="P20" s="1310"/>
      <c r="Q20" s="1310"/>
      <c r="R20" s="1310">
        <f>SUM($D$19:D20)+SUM($N$19:N20)</f>
        <v>76899.975506387927</v>
      </c>
      <c r="T20" s="397">
        <v>2</v>
      </c>
    </row>
    <row r="21" spans="2:20" ht="15.5">
      <c r="B21" s="1309">
        <f t="shared" si="0"/>
        <v>43525</v>
      </c>
      <c r="C21" s="1275"/>
      <c r="D21" s="1310">
        <f>+D20</f>
        <v>38373.241270652659</v>
      </c>
      <c r="E21" s="1311"/>
      <c r="F21" s="1310">
        <f>D20+F20</f>
        <v>76746.482541305319</v>
      </c>
      <c r="G21" s="1310"/>
      <c r="H21" s="1310">
        <v>0</v>
      </c>
      <c r="I21" s="1310"/>
      <c r="J21" s="1310">
        <f t="shared" si="2"/>
        <v>76746.482541305319</v>
      </c>
      <c r="K21" s="1311"/>
      <c r="L21" s="1312">
        <f>+'OKT WS Q Interest Rate'!E15</f>
        <v>4.4000000000000003E-3</v>
      </c>
      <c r="M21" s="1313"/>
      <c r="N21" s="1310">
        <f t="shared" si="1"/>
        <v>337.68452318174343</v>
      </c>
      <c r="O21" s="1310"/>
      <c r="P21" s="1310"/>
      <c r="Q21" s="1310"/>
      <c r="R21" s="1310">
        <f>SUM($D$19:D21)+SUM($N$19:N21)</f>
        <v>115610.90130022234</v>
      </c>
      <c r="T21" s="397">
        <v>3</v>
      </c>
    </row>
    <row r="22" spans="2:20" ht="15.5">
      <c r="B22" s="1309">
        <f t="shared" si="0"/>
        <v>43556</v>
      </c>
      <c r="C22" s="1275"/>
      <c r="D22" s="1310">
        <f>+D21</f>
        <v>38373.241270652659</v>
      </c>
      <c r="E22" s="1311"/>
      <c r="F22" s="1310">
        <f t="shared" ref="F22:F28" si="3">D21+F21</f>
        <v>115119.72381195799</v>
      </c>
      <c r="G22" s="1310"/>
      <c r="H22" s="1310">
        <f>SUM($N$19:$N$21)</f>
        <v>491.17748826435411</v>
      </c>
      <c r="I22" s="1310"/>
      <c r="J22" s="1310">
        <f t="shared" si="2"/>
        <v>115610.90130022234</v>
      </c>
      <c r="K22" s="1311"/>
      <c r="L22" s="1312">
        <f>+'OKT WS Q Interest Rate'!E16</f>
        <v>4.4999999999999997E-3</v>
      </c>
      <c r="M22" s="1313"/>
      <c r="N22" s="1310">
        <f t="shared" si="1"/>
        <v>520.24905585100043</v>
      </c>
      <c r="O22" s="1310"/>
      <c r="P22" s="1310"/>
      <c r="Q22" s="1310"/>
      <c r="R22" s="1310">
        <f>SUM($D$19:D22)+SUM($N$19:N22)</f>
        <v>154504.39162672599</v>
      </c>
      <c r="T22" s="397">
        <v>4</v>
      </c>
    </row>
    <row r="23" spans="2:20" ht="15.5">
      <c r="B23" s="1309">
        <f t="shared" si="0"/>
        <v>43586</v>
      </c>
      <c r="C23" s="1275"/>
      <c r="D23" s="1310">
        <f t="shared" ref="D23:D28" si="4">+D22</f>
        <v>38373.241270652659</v>
      </c>
      <c r="E23" s="1311"/>
      <c r="F23" s="1310">
        <f t="shared" si="3"/>
        <v>153492.96508261064</v>
      </c>
      <c r="G23" s="1310"/>
      <c r="H23" s="1310">
        <f t="shared" ref="H23:H24" si="5">SUM($N$19:$N$21)</f>
        <v>491.17748826435411</v>
      </c>
      <c r="I23" s="1310"/>
      <c r="J23" s="1310">
        <f t="shared" si="2"/>
        <v>153984.142570875</v>
      </c>
      <c r="K23" s="1311"/>
      <c r="L23" s="1312">
        <f>+'OKT WS Q Interest Rate'!E17</f>
        <v>4.5999999999999999E-3</v>
      </c>
      <c r="M23" s="1313"/>
      <c r="N23" s="1310">
        <f t="shared" si="1"/>
        <v>708.327055826025</v>
      </c>
      <c r="O23" s="1310"/>
      <c r="P23" s="1310"/>
      <c r="Q23" s="1310"/>
      <c r="R23" s="1310">
        <f>SUM($D$19:D23)+SUM($N$19:N23)</f>
        <v>193585.95995320467</v>
      </c>
      <c r="T23" s="397">
        <v>5</v>
      </c>
    </row>
    <row r="24" spans="2:20" ht="15.5">
      <c r="B24" s="1309">
        <f t="shared" si="0"/>
        <v>43617</v>
      </c>
      <c r="C24" s="1275"/>
      <c r="D24" s="1310">
        <f t="shared" si="4"/>
        <v>38373.241270652659</v>
      </c>
      <c r="E24" s="1311"/>
      <c r="F24" s="1310">
        <f t="shared" si="3"/>
        <v>191866.20635326329</v>
      </c>
      <c r="G24" s="1310"/>
      <c r="H24" s="1310">
        <f t="shared" si="5"/>
        <v>491.17748826435411</v>
      </c>
      <c r="I24" s="1310"/>
      <c r="J24" s="1310">
        <f t="shared" si="2"/>
        <v>192357.38384152766</v>
      </c>
      <c r="K24" s="1311"/>
      <c r="L24" s="1312">
        <f>+'OKT WS Q Interest Rate'!E18</f>
        <v>4.4999999999999997E-3</v>
      </c>
      <c r="M24" s="1313"/>
      <c r="N24" s="1310">
        <f t="shared" si="1"/>
        <v>865.60822728687435</v>
      </c>
      <c r="O24" s="1310"/>
      <c r="P24" s="1310"/>
      <c r="Q24" s="1310"/>
      <c r="R24" s="1310">
        <f>SUM($D$19:D24)+SUM($N$19:N24)</f>
        <v>232824.80945114419</v>
      </c>
      <c r="T24" s="397">
        <v>6</v>
      </c>
    </row>
    <row r="25" spans="2:20" ht="15.5">
      <c r="B25" s="1309">
        <f t="shared" si="0"/>
        <v>43647</v>
      </c>
      <c r="C25" s="1275"/>
      <c r="D25" s="1310">
        <f t="shared" si="4"/>
        <v>38373.241270652659</v>
      </c>
      <c r="E25" s="1311"/>
      <c r="F25" s="1310">
        <f t="shared" si="3"/>
        <v>230239.44762391594</v>
      </c>
      <c r="G25" s="1310"/>
      <c r="H25" s="1310">
        <f>$H$24+SUM($N$22:$N$24)</f>
        <v>2585.3618272282538</v>
      </c>
      <c r="I25" s="1310"/>
      <c r="J25" s="1310">
        <f t="shared" si="2"/>
        <v>232824.80945114419</v>
      </c>
      <c r="K25" s="1311"/>
      <c r="L25" s="1312">
        <f>+'OKT WS Q Interest Rate'!E19</f>
        <v>4.7000000000000002E-3</v>
      </c>
      <c r="M25" s="1313"/>
      <c r="N25" s="1310">
        <f t="shared" si="1"/>
        <v>1094.2766044203777</v>
      </c>
      <c r="O25" s="1310"/>
      <c r="P25" s="1310"/>
      <c r="Q25" s="1310"/>
      <c r="R25" s="1310">
        <f>SUM($D$19:D25)+SUM($N$19:N25)</f>
        <v>272292.3273262172</v>
      </c>
      <c r="T25" s="397">
        <v>7</v>
      </c>
    </row>
    <row r="26" spans="2:20" ht="15.5">
      <c r="B26" s="1309">
        <f t="shared" si="0"/>
        <v>43678</v>
      </c>
      <c r="C26" s="1275"/>
      <c r="D26" s="1310">
        <f t="shared" si="4"/>
        <v>38373.241270652659</v>
      </c>
      <c r="E26" s="1311"/>
      <c r="F26" s="1310">
        <f t="shared" si="3"/>
        <v>268612.68889456859</v>
      </c>
      <c r="G26" s="1310"/>
      <c r="H26" s="1310">
        <f>$H$24+SUM($N$22:$N$24)</f>
        <v>2585.3618272282538</v>
      </c>
      <c r="I26" s="1310"/>
      <c r="J26" s="1310">
        <f t="shared" si="2"/>
        <v>271198.05072179687</v>
      </c>
      <c r="K26" s="1311"/>
      <c r="L26" s="1312">
        <f>+'OKT WS Q Interest Rate'!E20</f>
        <v>4.7000000000000002E-3</v>
      </c>
      <c r="M26" s="1313"/>
      <c r="N26" s="1310">
        <f t="shared" si="1"/>
        <v>1274.6308383924454</v>
      </c>
      <c r="O26" s="1310"/>
      <c r="P26" s="1310"/>
      <c r="Q26" s="1310"/>
      <c r="R26" s="1310">
        <f>SUM($D$19:D26)+SUM($N$19:N26)</f>
        <v>311940.19943526236</v>
      </c>
      <c r="T26" s="397">
        <v>8</v>
      </c>
    </row>
    <row r="27" spans="2:20" ht="15.5">
      <c r="B27" s="1309">
        <f t="shared" si="0"/>
        <v>43709</v>
      </c>
      <c r="C27" s="1275"/>
      <c r="D27" s="1310">
        <f t="shared" si="4"/>
        <v>38373.241270652659</v>
      </c>
      <c r="E27" s="1311"/>
      <c r="F27" s="1310">
        <f t="shared" si="3"/>
        <v>306985.93016522127</v>
      </c>
      <c r="G27" s="1310"/>
      <c r="H27" s="1310">
        <f>$H$24+SUM($N$22:$N$24)</f>
        <v>2585.3618272282538</v>
      </c>
      <c r="I27" s="1310"/>
      <c r="J27" s="1310">
        <f t="shared" si="2"/>
        <v>309571.29199244955</v>
      </c>
      <c r="K27" s="1311"/>
      <c r="L27" s="1312">
        <f>+'OKT WS Q Interest Rate'!E21</f>
        <v>4.4999999999999997E-3</v>
      </c>
      <c r="M27" s="1313"/>
      <c r="N27" s="1310">
        <f t="shared" si="1"/>
        <v>1393.0708139660228</v>
      </c>
      <c r="O27" s="1310"/>
      <c r="P27" s="1310"/>
      <c r="Q27" s="1310"/>
      <c r="R27" s="1310">
        <f>SUM($D$19:D27)+SUM($N$19:N27)</f>
        <v>351706.51151988108</v>
      </c>
      <c r="T27" s="397">
        <v>9</v>
      </c>
    </row>
    <row r="28" spans="2:20" ht="15.5">
      <c r="B28" s="1309">
        <f t="shared" si="0"/>
        <v>43739</v>
      </c>
      <c r="C28" s="1275"/>
      <c r="D28" s="1310">
        <f t="shared" si="4"/>
        <v>38373.241270652659</v>
      </c>
      <c r="E28" s="1311"/>
      <c r="F28" s="1310">
        <f t="shared" si="3"/>
        <v>345359.17143587396</v>
      </c>
      <c r="G28" s="1310"/>
      <c r="H28" s="1310">
        <f>$H$27+SUM($N$25:$N$27)</f>
        <v>6347.3400840070999</v>
      </c>
      <c r="I28" s="1310"/>
      <c r="J28" s="1310">
        <f t="shared" si="2"/>
        <v>351706.51151988108</v>
      </c>
      <c r="K28" s="1311"/>
      <c r="L28" s="1312">
        <f>+'OKT WS Q Interest Rate'!E22</f>
        <v>4.5999999999999999E-3</v>
      </c>
      <c r="M28" s="1313"/>
      <c r="N28" s="1310">
        <f t="shared" si="1"/>
        <v>1617.8499529914529</v>
      </c>
      <c r="O28" s="1310"/>
      <c r="P28" s="1310"/>
      <c r="Q28" s="1310"/>
      <c r="R28" s="1310">
        <f>SUM($D$19:D28)+SUM($N$19:N28)</f>
        <v>391697.60274352517</v>
      </c>
      <c r="T28" s="397">
        <v>10</v>
      </c>
    </row>
    <row r="29" spans="2:20" ht="15.5">
      <c r="B29" s="1309">
        <f t="shared" si="0"/>
        <v>43770</v>
      </c>
      <c r="C29" s="1275"/>
      <c r="D29" s="1310">
        <f>+D28</f>
        <v>38373.241270652659</v>
      </c>
      <c r="E29" s="1311"/>
      <c r="F29" s="1310">
        <f>D28+F28</f>
        <v>383732.41270652664</v>
      </c>
      <c r="G29" s="1310"/>
      <c r="H29" s="1310">
        <f>$H$27+SUM($N$25:$N$27)</f>
        <v>6347.3400840070999</v>
      </c>
      <c r="I29" s="1310"/>
      <c r="J29" s="1310">
        <f t="shared" si="2"/>
        <v>390079.75279053376</v>
      </c>
      <c r="K29" s="1311"/>
      <c r="L29" s="1312">
        <f>+'OKT WS Q Interest Rate'!E23</f>
        <v>4.4999999999999997E-3</v>
      </c>
      <c r="M29" s="1313"/>
      <c r="N29" s="1310">
        <f t="shared" si="1"/>
        <v>1755.3588875574019</v>
      </c>
      <c r="O29" s="1310"/>
      <c r="P29" s="1310"/>
      <c r="Q29" s="1310"/>
      <c r="R29" s="1310">
        <f>SUM($D$19:D29)+SUM($N$19:N29)</f>
        <v>431826.20290173526</v>
      </c>
      <c r="T29" s="397">
        <v>11</v>
      </c>
    </row>
    <row r="30" spans="2:20" ht="15.5">
      <c r="B30" s="1309">
        <f t="shared" si="0"/>
        <v>43800</v>
      </c>
      <c r="C30" s="1275"/>
      <c r="D30" s="1310">
        <f>+D29</f>
        <v>38373.241270652659</v>
      </c>
      <c r="E30" s="1311"/>
      <c r="F30" s="1310">
        <f>D29+F29</f>
        <v>422105.65397717932</v>
      </c>
      <c r="G30" s="1310"/>
      <c r="H30" s="1310">
        <f>$H$27+SUM($N$25:$N$27)</f>
        <v>6347.3400840070999</v>
      </c>
      <c r="I30" s="1310"/>
      <c r="J30" s="1310">
        <f>F30+H30</f>
        <v>428452.99406118644</v>
      </c>
      <c r="K30" s="1311"/>
      <c r="L30" s="1312">
        <f>+'OKT WS Q Interest Rate'!E24</f>
        <v>4.5999999999999999E-3</v>
      </c>
      <c r="M30" s="1313"/>
      <c r="N30" s="1310">
        <f t="shared" si="1"/>
        <v>1970.8837726814577</v>
      </c>
      <c r="O30" s="1314"/>
      <c r="P30" s="1310"/>
      <c r="Q30" s="1310"/>
      <c r="R30" s="1310">
        <f>SUM($D$19:D30)+SUM($N$19:N30)</f>
        <v>472170.32794506941</v>
      </c>
      <c r="T30" s="397">
        <v>12</v>
      </c>
    </row>
    <row r="31" spans="2:20" ht="15.5">
      <c r="B31" s="1275"/>
      <c r="C31" s="1275"/>
      <c r="D31" s="1310"/>
      <c r="E31" s="1311"/>
      <c r="F31" s="1310"/>
      <c r="G31" s="1310"/>
      <c r="H31" s="1310"/>
      <c r="I31" s="1310"/>
      <c r="J31" s="1310"/>
      <c r="K31" s="1311"/>
      <c r="L31" s="1294"/>
      <c r="M31" s="1275"/>
      <c r="N31" s="1314"/>
      <c r="O31" s="1314"/>
      <c r="P31" s="1310"/>
      <c r="Q31" s="1310"/>
      <c r="R31" s="1315"/>
    </row>
    <row r="32" spans="2:20" ht="15.5">
      <c r="B32" s="1308" t="s">
        <v>698</v>
      </c>
      <c r="C32" s="1275"/>
      <c r="D32" s="1310"/>
      <c r="E32" s="1311"/>
      <c r="F32" s="1310"/>
      <c r="G32" s="1310"/>
      <c r="H32" s="1310"/>
      <c r="I32" s="1310"/>
      <c r="J32" s="1310"/>
      <c r="K32" s="1311"/>
      <c r="L32" s="1294"/>
      <c r="M32" s="1275"/>
      <c r="N32" s="1310"/>
      <c r="O32" s="1310"/>
      <c r="P32" s="1310" t="s">
        <v>253</v>
      </c>
      <c r="Q32" s="1310"/>
      <c r="R32" s="1316"/>
    </row>
    <row r="33" spans="2:20" ht="15.5">
      <c r="B33" s="1309">
        <f t="shared" ref="B33:B44" si="6">DATE($J$10,T33,1)</f>
        <v>43831</v>
      </c>
      <c r="C33" s="1275"/>
      <c r="D33" s="1310">
        <v>0</v>
      </c>
      <c r="E33" s="1311"/>
      <c r="F33" s="1310">
        <f>D30+F30</f>
        <v>460478.895247832</v>
      </c>
      <c r="G33" s="1310"/>
      <c r="H33" s="1310">
        <f>$H$30+SUM($N$28:$N$30)</f>
        <v>11691.432697237411</v>
      </c>
      <c r="I33" s="1310"/>
      <c r="J33" s="1310">
        <f>F33+H33</f>
        <v>472170.32794506941</v>
      </c>
      <c r="K33" s="1311"/>
      <c r="L33" s="1312">
        <f>+'OKT WS Q Interest Rate'!E25</f>
        <v>4.1999999999999997E-3</v>
      </c>
      <c r="M33" s="1313"/>
      <c r="N33" s="1310">
        <f t="shared" ref="N33:N44" si="7">J33*L33</f>
        <v>1983.1153773692913</v>
      </c>
      <c r="O33" s="1310"/>
      <c r="P33" s="1310"/>
      <c r="Q33" s="1310"/>
      <c r="R33" s="1310">
        <f>SUM($D$19:D33)+SUM($N$19:N33)</f>
        <v>474153.44332243869</v>
      </c>
      <c r="T33" s="397">
        <v>1</v>
      </c>
    </row>
    <row r="34" spans="2:20" ht="15.5">
      <c r="B34" s="1309">
        <f t="shared" si="6"/>
        <v>43862</v>
      </c>
      <c r="C34" s="1275"/>
      <c r="D34" s="1310">
        <v>0</v>
      </c>
      <c r="E34" s="1311"/>
      <c r="F34" s="1310">
        <f>D33+F33</f>
        <v>460478.895247832</v>
      </c>
      <c r="G34" s="1310"/>
      <c r="H34" s="1310">
        <f>$H$30+SUM($N$28:$N$30)</f>
        <v>11691.432697237411</v>
      </c>
      <c r="I34" s="1310"/>
      <c r="J34" s="1310">
        <f>F34+H34</f>
        <v>472170.32794506941</v>
      </c>
      <c r="K34" s="1311"/>
      <c r="L34" s="1312">
        <f>+'OKT WS Q Interest Rate'!E26</f>
        <v>3.8999999999999998E-3</v>
      </c>
      <c r="M34" s="1313"/>
      <c r="N34" s="1310">
        <f t="shared" si="7"/>
        <v>1841.4642789857705</v>
      </c>
      <c r="O34" s="1310"/>
      <c r="P34" s="1310"/>
      <c r="Q34" s="1310"/>
      <c r="R34" s="1310">
        <f>SUM($D$19:D34)+SUM($N$19:N34)</f>
        <v>475994.90760142449</v>
      </c>
      <c r="T34" s="397">
        <v>2</v>
      </c>
    </row>
    <row r="35" spans="2:20" ht="15.5">
      <c r="B35" s="1309">
        <f t="shared" si="6"/>
        <v>43891</v>
      </c>
      <c r="C35" s="1275"/>
      <c r="D35" s="1310">
        <v>0</v>
      </c>
      <c r="E35" s="1311"/>
      <c r="F35" s="1310">
        <f t="shared" ref="F35:F43" si="8">D34+F34</f>
        <v>460478.895247832</v>
      </c>
      <c r="G35" s="1310"/>
      <c r="H35" s="1310">
        <f>$H$30+SUM($N$28:$N$30)</f>
        <v>11691.432697237411</v>
      </c>
      <c r="I35" s="1310"/>
      <c r="J35" s="1310">
        <f t="shared" ref="J35:J41" si="9">F35+H35</f>
        <v>472170.32794506941</v>
      </c>
      <c r="K35" s="1311"/>
      <c r="L35" s="1312">
        <f>+'OKT WS Q Interest Rate'!E27</f>
        <v>4.1999999999999997E-3</v>
      </c>
      <c r="M35" s="1313"/>
      <c r="N35" s="1310">
        <f t="shared" si="7"/>
        <v>1983.1153773692913</v>
      </c>
      <c r="O35" s="1310"/>
      <c r="P35" s="1310"/>
      <c r="Q35" s="1310"/>
      <c r="R35" s="1310">
        <f>SUM($D$19:D35)+SUM($N$19:N35)</f>
        <v>477978.02297879377</v>
      </c>
      <c r="T35" s="397">
        <v>3</v>
      </c>
    </row>
    <row r="36" spans="2:20" ht="15.5">
      <c r="B36" s="1309">
        <f t="shared" si="6"/>
        <v>43922</v>
      </c>
      <c r="C36" s="1275"/>
      <c r="D36" s="1310">
        <v>0</v>
      </c>
      <c r="E36" s="1311"/>
      <c r="F36" s="1310">
        <f t="shared" si="8"/>
        <v>460478.895247832</v>
      </c>
      <c r="G36" s="1310"/>
      <c r="H36" s="1310">
        <f>$H$35+SUM($N$33:$N$35)</f>
        <v>17499.127730961765</v>
      </c>
      <c r="I36" s="1310"/>
      <c r="J36" s="1310">
        <f>F36+H36</f>
        <v>477978.02297879377</v>
      </c>
      <c r="K36" s="1311"/>
      <c r="L36" s="1312">
        <f>+'OKT WS Q Interest Rate'!E28</f>
        <v>3.8999999999999998E-3</v>
      </c>
      <c r="M36" s="1313"/>
      <c r="N36" s="1310">
        <f t="shared" si="7"/>
        <v>1864.1142896172955</v>
      </c>
      <c r="O36" s="1310"/>
      <c r="P36" s="1310"/>
      <c r="Q36" s="1310"/>
      <c r="R36" s="1310">
        <f>SUM($D$19:D36)+SUM($N$19:N36)</f>
        <v>479842.13726841105</v>
      </c>
      <c r="T36" s="397">
        <v>4</v>
      </c>
    </row>
    <row r="37" spans="2:20" ht="15.5">
      <c r="B37" s="1309">
        <f t="shared" si="6"/>
        <v>43952</v>
      </c>
      <c r="C37" s="1275"/>
      <c r="D37" s="1310">
        <v>0</v>
      </c>
      <c r="E37" s="1311"/>
      <c r="F37" s="1310">
        <f t="shared" si="8"/>
        <v>460478.895247832</v>
      </c>
      <c r="G37" s="1310"/>
      <c r="H37" s="1310">
        <f>$H$35+SUM($N$33:$N$35)</f>
        <v>17499.127730961765</v>
      </c>
      <c r="I37" s="1310"/>
      <c r="J37" s="1310">
        <f t="shared" si="9"/>
        <v>477978.02297879377</v>
      </c>
      <c r="K37" s="1311"/>
      <c r="L37" s="1312">
        <f>+'OKT WS Q Interest Rate'!E29</f>
        <v>4.0000000000000001E-3</v>
      </c>
      <c r="M37" s="1313"/>
      <c r="N37" s="1310">
        <f t="shared" si="7"/>
        <v>1911.9120919151751</v>
      </c>
      <c r="O37" s="1310"/>
      <c r="P37" s="1310"/>
      <c r="Q37" s="1310"/>
      <c r="R37" s="1310">
        <f>SUM($D$19:D37)+SUM($N$19:N37)</f>
        <v>481754.04936032626</v>
      </c>
      <c r="T37" s="397">
        <v>5</v>
      </c>
    </row>
    <row r="38" spans="2:20" ht="15.5">
      <c r="B38" s="1309">
        <f t="shared" si="6"/>
        <v>43983</v>
      </c>
      <c r="C38" s="1275"/>
      <c r="D38" s="1310">
        <v>0</v>
      </c>
      <c r="E38" s="1311"/>
      <c r="F38" s="1310">
        <f t="shared" si="8"/>
        <v>460478.895247832</v>
      </c>
      <c r="G38" s="1310"/>
      <c r="H38" s="1310">
        <f>$H$35+SUM($N$33:$N$35)</f>
        <v>17499.127730961765</v>
      </c>
      <c r="I38" s="1310"/>
      <c r="J38" s="1310">
        <f t="shared" si="9"/>
        <v>477978.02297879377</v>
      </c>
      <c r="K38" s="1311"/>
      <c r="L38" s="1312">
        <f>+'OKT WS Q Interest Rate'!E30</f>
        <v>3.8999999999999998E-3</v>
      </c>
      <c r="M38" s="1313"/>
      <c r="N38" s="1310">
        <f t="shared" si="7"/>
        <v>1864.1142896172955</v>
      </c>
      <c r="O38" s="1310"/>
      <c r="P38" s="1310"/>
      <c r="Q38" s="1310"/>
      <c r="R38" s="1310">
        <f>SUM($D$19:D38)+SUM($N$19:N38)</f>
        <v>483618.16364994354</v>
      </c>
      <c r="T38" s="397">
        <v>6</v>
      </c>
    </row>
    <row r="39" spans="2:20" ht="15.5">
      <c r="B39" s="1309">
        <f t="shared" si="6"/>
        <v>44013</v>
      </c>
      <c r="C39" s="1275"/>
      <c r="D39" s="1310">
        <v>0</v>
      </c>
      <c r="E39" s="1311"/>
      <c r="F39" s="1310">
        <f t="shared" si="8"/>
        <v>460478.895247832</v>
      </c>
      <c r="G39" s="1310"/>
      <c r="H39" s="1310">
        <f>$H$38+SUM($N$36:$N$38)</f>
        <v>23139.268402111531</v>
      </c>
      <c r="I39" s="1310"/>
      <c r="J39" s="1310">
        <f>F39+H39</f>
        <v>483618.16364994354</v>
      </c>
      <c r="K39" s="1311"/>
      <c r="L39" s="1312">
        <f>+'OKT WS Q Interest Rate'!E31</f>
        <v>3.8999999999999998E-3</v>
      </c>
      <c r="M39" s="1313"/>
      <c r="N39" s="1310">
        <f t="shared" si="7"/>
        <v>1886.1108382347797</v>
      </c>
      <c r="O39" s="1310"/>
      <c r="P39" s="1310"/>
      <c r="Q39" s="1310"/>
      <c r="R39" s="1310">
        <f>SUM($D$19:D39)+SUM($N$19:N39)</f>
        <v>485504.27448817831</v>
      </c>
      <c r="T39" s="397">
        <v>7</v>
      </c>
    </row>
    <row r="40" spans="2:20" ht="15.5">
      <c r="B40" s="1309">
        <f t="shared" si="6"/>
        <v>44044</v>
      </c>
      <c r="C40" s="1275"/>
      <c r="D40" s="1310">
        <v>0</v>
      </c>
      <c r="E40" s="1311"/>
      <c r="F40" s="1310">
        <f t="shared" si="8"/>
        <v>460478.895247832</v>
      </c>
      <c r="G40" s="1310"/>
      <c r="H40" s="1310">
        <f>$H$38+SUM($N$36:$N$38)</f>
        <v>23139.268402111531</v>
      </c>
      <c r="I40" s="1310"/>
      <c r="J40" s="1310">
        <f t="shared" si="9"/>
        <v>483618.16364994354</v>
      </c>
      <c r="K40" s="1311"/>
      <c r="L40" s="1312">
        <f>+'OKT WS Q Interest Rate'!E32</f>
        <v>3.8999999999999998E-3</v>
      </c>
      <c r="M40" s="1313"/>
      <c r="N40" s="1310">
        <f t="shared" si="7"/>
        <v>1886.1108382347797</v>
      </c>
      <c r="O40" s="1310"/>
      <c r="P40" s="1310"/>
      <c r="Q40" s="1310"/>
      <c r="R40" s="1310">
        <f>SUM($D$19:D40)+SUM($N$19:N40)</f>
        <v>487390.38532641309</v>
      </c>
      <c r="T40" s="397">
        <v>8</v>
      </c>
    </row>
    <row r="41" spans="2:20" ht="15.5">
      <c r="B41" s="1309">
        <f t="shared" si="6"/>
        <v>44075</v>
      </c>
      <c r="C41" s="1275"/>
      <c r="D41" s="1310">
        <v>0</v>
      </c>
      <c r="E41" s="1311"/>
      <c r="F41" s="1310">
        <f t="shared" si="8"/>
        <v>460478.895247832</v>
      </c>
      <c r="G41" s="1310"/>
      <c r="H41" s="1310">
        <f>$H$38+SUM($N$36:$N$38)</f>
        <v>23139.268402111531</v>
      </c>
      <c r="I41" s="1310"/>
      <c r="J41" s="1310">
        <f t="shared" si="9"/>
        <v>483618.16364994354</v>
      </c>
      <c r="K41" s="1311"/>
      <c r="L41" s="1312">
        <f>+'OKT WS Q Interest Rate'!E33</f>
        <v>3.8999999999999998E-3</v>
      </c>
      <c r="M41" s="1313"/>
      <c r="N41" s="1310">
        <f t="shared" si="7"/>
        <v>1886.1108382347797</v>
      </c>
      <c r="O41" s="1310"/>
      <c r="P41" s="1310"/>
      <c r="Q41" s="1310"/>
      <c r="R41" s="1310">
        <f>SUM($D$19:D41)+SUM($N$19:N41)</f>
        <v>489276.49616464786</v>
      </c>
      <c r="T41" s="397">
        <v>9</v>
      </c>
    </row>
    <row r="42" spans="2:20" ht="15.5">
      <c r="B42" s="1309">
        <f t="shared" si="6"/>
        <v>44105</v>
      </c>
      <c r="C42" s="1275"/>
      <c r="D42" s="1310">
        <v>0</v>
      </c>
      <c r="E42" s="1311"/>
      <c r="F42" s="1310">
        <f t="shared" si="8"/>
        <v>460478.895247832</v>
      </c>
      <c r="G42" s="1310"/>
      <c r="H42" s="1310">
        <f>$H$41+SUM($N$39:$N$41)</f>
        <v>28797.600916815871</v>
      </c>
      <c r="I42" s="1310"/>
      <c r="J42" s="1310">
        <f>F42+H42</f>
        <v>489276.49616464786</v>
      </c>
      <c r="K42" s="1311"/>
      <c r="L42" s="1312">
        <f>+'OKT WS Q Interest Rate'!E34</f>
        <v>3.8999999999999998E-3</v>
      </c>
      <c r="M42" s="1313"/>
      <c r="N42" s="1310">
        <f t="shared" si="7"/>
        <v>1908.1783350421265</v>
      </c>
      <c r="O42" s="1310"/>
      <c r="P42" s="1310"/>
      <c r="Q42" s="1310"/>
      <c r="R42" s="1310">
        <f>SUM($D$19:D42)+SUM($N$19:N42)</f>
        <v>491184.67449969001</v>
      </c>
      <c r="T42" s="397">
        <v>10</v>
      </c>
    </row>
    <row r="43" spans="2:20" ht="15.5">
      <c r="B43" s="1309">
        <f t="shared" si="6"/>
        <v>44136</v>
      </c>
      <c r="C43" s="1275"/>
      <c r="D43" s="1310">
        <v>0</v>
      </c>
      <c r="E43" s="1311"/>
      <c r="F43" s="1310">
        <f t="shared" si="8"/>
        <v>460478.895247832</v>
      </c>
      <c r="G43" s="1310"/>
      <c r="H43" s="1310">
        <f>$H$41+SUM($N$39:$N$41)</f>
        <v>28797.600916815871</v>
      </c>
      <c r="I43" s="1310"/>
      <c r="J43" s="1310">
        <f>F43+H43</f>
        <v>489276.49616464786</v>
      </c>
      <c r="K43" s="1311"/>
      <c r="L43" s="1312">
        <f>+'OKT WS Q Interest Rate'!E35</f>
        <v>3.8999999999999998E-3</v>
      </c>
      <c r="M43" s="1313"/>
      <c r="N43" s="1310">
        <f t="shared" si="7"/>
        <v>1908.1783350421265</v>
      </c>
      <c r="O43" s="1310"/>
      <c r="P43" s="1310"/>
      <c r="Q43" s="1310"/>
      <c r="R43" s="1310">
        <f>SUM($D$19:D43)+SUM($N$19:N43)</f>
        <v>493092.85283473216</v>
      </c>
      <c r="T43" s="397">
        <v>11</v>
      </c>
    </row>
    <row r="44" spans="2:20" ht="15.5">
      <c r="B44" s="1309">
        <f t="shared" si="6"/>
        <v>44166</v>
      </c>
      <c r="C44" s="1275"/>
      <c r="D44" s="1310">
        <v>0</v>
      </c>
      <c r="E44" s="1311"/>
      <c r="F44" s="1310">
        <f>D43+F43</f>
        <v>460478.895247832</v>
      </c>
      <c r="G44" s="1310"/>
      <c r="H44" s="1310">
        <f>$H$41+SUM($N$39:$N$41)</f>
        <v>28797.600916815871</v>
      </c>
      <c r="I44" s="1310"/>
      <c r="J44" s="1310">
        <f>F44+H44</f>
        <v>489276.49616464786</v>
      </c>
      <c r="K44" s="1311"/>
      <c r="L44" s="1312">
        <f>+'OKT WS Q Interest Rate'!E36</f>
        <v>3.8999999999999998E-3</v>
      </c>
      <c r="M44" s="1313"/>
      <c r="N44" s="1310">
        <f t="shared" si="7"/>
        <v>1908.1783350421265</v>
      </c>
      <c r="O44" s="1314"/>
      <c r="P44" s="1310"/>
      <c r="Q44" s="1310"/>
      <c r="R44" s="1310">
        <f>SUM($D$19:D44)+SUM($N$19:N44)</f>
        <v>495001.03116977424</v>
      </c>
      <c r="T44" s="397">
        <v>12</v>
      </c>
    </row>
    <row r="45" spans="2:20" ht="15.5">
      <c r="B45" s="1275"/>
      <c r="C45" s="1275"/>
      <c r="D45" s="1310"/>
      <c r="E45" s="1292"/>
      <c r="F45" s="1310"/>
      <c r="G45" s="1310"/>
      <c r="H45" s="1310"/>
      <c r="I45" s="1310"/>
      <c r="J45" s="1310"/>
      <c r="K45" s="1292"/>
      <c r="L45" s="1294"/>
      <c r="M45" s="1275"/>
      <c r="N45" s="1317"/>
      <c r="O45" s="1317"/>
      <c r="P45" s="1310"/>
      <c r="Q45" s="1310"/>
      <c r="R45" s="1310"/>
      <c r="T45" s="1318"/>
    </row>
    <row r="46" spans="2:20" ht="15.5">
      <c r="B46" s="1319" t="s">
        <v>699</v>
      </c>
      <c r="C46" s="1275"/>
      <c r="D46" s="1310"/>
      <c r="E46" s="1311"/>
      <c r="F46" s="1310"/>
      <c r="G46" s="1310"/>
      <c r="H46" s="1310"/>
      <c r="I46" s="1310"/>
      <c r="J46" s="1310"/>
      <c r="K46" s="1311"/>
      <c r="L46" s="1294"/>
      <c r="M46" s="1275"/>
      <c r="N46" s="1320"/>
      <c r="O46" s="1320"/>
      <c r="P46" s="1310"/>
      <c r="Q46" s="1310"/>
      <c r="R46" s="1310"/>
    </row>
    <row r="47" spans="2:20" ht="15.5">
      <c r="B47" s="1321" t="s">
        <v>417</v>
      </c>
      <c r="C47" s="1275"/>
      <c r="D47" s="1310"/>
      <c r="E47" s="1311"/>
      <c r="F47" s="1310"/>
      <c r="G47" s="1310"/>
      <c r="H47" s="1310"/>
      <c r="I47" s="1310"/>
      <c r="J47" s="1310"/>
      <c r="K47" s="1311"/>
      <c r="L47" s="1294"/>
      <c r="M47" s="1275"/>
      <c r="N47" s="1320"/>
      <c r="O47" s="1320"/>
      <c r="P47" s="1310"/>
      <c r="Q47" s="1310"/>
      <c r="R47" s="1310"/>
    </row>
    <row r="48" spans="2:20" ht="15.5">
      <c r="B48" s="1309">
        <f t="shared" ref="B48:B59" si="10">DATE($J$11,T48,1)</f>
        <v>44197</v>
      </c>
      <c r="C48" s="1275"/>
      <c r="D48" s="1310">
        <v>0</v>
      </c>
      <c r="E48" s="1322"/>
      <c r="F48" s="1310">
        <f>D44+F44</f>
        <v>460478.895247832</v>
      </c>
      <c r="G48" s="1315"/>
      <c r="H48" s="1310">
        <f>$H$44+SUM($N$42:$N$44)</f>
        <v>34522.135921942252</v>
      </c>
      <c r="I48" s="1310"/>
      <c r="J48" s="1310">
        <f>F48+H48</f>
        <v>495001.03116977424</v>
      </c>
      <c r="K48" s="1292"/>
      <c r="L48" s="1312">
        <f>+'OKT WS Q Interest Rate'!$E$39</f>
        <v>3.9583333333333337E-3</v>
      </c>
      <c r="M48" s="1275"/>
      <c r="N48" s="1310">
        <f t="shared" ref="N48:N59" si="11">J48*L48</f>
        <v>1959.3790817136899</v>
      </c>
      <c r="O48" s="1310"/>
      <c r="P48" s="1310">
        <f>PMT(L48,12,$R$44)</f>
        <v>-42319.102788662909</v>
      </c>
      <c r="Q48" s="1310"/>
      <c r="R48" s="1310">
        <f>SUM($D$19:D48)+SUM($N$19:N48)+SUM($P$48:P48)</f>
        <v>454641.30746282503</v>
      </c>
      <c r="T48" s="397">
        <v>1</v>
      </c>
    </row>
    <row r="49" spans="2:20" ht="15.5">
      <c r="B49" s="1309">
        <f t="shared" si="10"/>
        <v>44228</v>
      </c>
      <c r="C49" s="1275"/>
      <c r="D49" s="1310">
        <v>0</v>
      </c>
      <c r="E49" s="1292"/>
      <c r="F49" s="1310">
        <f>D48+F48</f>
        <v>460478.895247832</v>
      </c>
      <c r="G49" s="1310"/>
      <c r="H49" s="1310">
        <f>$H$44+SUM($N$42:$N$44)</f>
        <v>34522.135921942252</v>
      </c>
      <c r="I49" s="1310"/>
      <c r="J49" s="1310">
        <f>R48</f>
        <v>454641.30746282503</v>
      </c>
      <c r="K49" s="1292"/>
      <c r="L49" s="1312">
        <f>+'OKT WS Q Interest Rate'!$E$39</f>
        <v>3.9583333333333337E-3</v>
      </c>
      <c r="M49" s="1275"/>
      <c r="N49" s="1310">
        <f t="shared" si="11"/>
        <v>1799.6218420403493</v>
      </c>
      <c r="O49" s="1310"/>
      <c r="P49" s="1310">
        <f t="shared" ref="P49:P59" si="12">PMT(L49,12,$R$44)</f>
        <v>-42319.102788662909</v>
      </c>
      <c r="Q49" s="1310"/>
      <c r="R49" s="1310">
        <f>SUM($D$19:D49)+SUM($N$19:N49)+SUM($P$48:P49)</f>
        <v>414121.82651620248</v>
      </c>
      <c r="T49" s="397">
        <v>2</v>
      </c>
    </row>
    <row r="50" spans="2:20" ht="15.5">
      <c r="B50" s="1309">
        <f t="shared" si="10"/>
        <v>44256</v>
      </c>
      <c r="C50" s="1275"/>
      <c r="D50" s="1310">
        <v>0</v>
      </c>
      <c r="E50" s="1292"/>
      <c r="F50" s="1310">
        <f t="shared" ref="F50:F58" si="13">D49+F49</f>
        <v>460478.895247832</v>
      </c>
      <c r="G50" s="1310"/>
      <c r="H50" s="1310">
        <f>$H$44+SUM($N$42:$N$44)</f>
        <v>34522.135921942252</v>
      </c>
      <c r="I50" s="1310"/>
      <c r="J50" s="1310">
        <f t="shared" ref="J50:J59" si="14">R49</f>
        <v>414121.82651620248</v>
      </c>
      <c r="K50" s="1292"/>
      <c r="L50" s="1312">
        <f>+'OKT WS Q Interest Rate'!$E$39</f>
        <v>3.9583333333333337E-3</v>
      </c>
      <c r="M50" s="1275"/>
      <c r="N50" s="1310">
        <f t="shared" si="11"/>
        <v>1639.2322299599682</v>
      </c>
      <c r="O50" s="1310"/>
      <c r="P50" s="1310">
        <f t="shared" si="12"/>
        <v>-42319.102788662909</v>
      </c>
      <c r="Q50" s="1310"/>
      <c r="R50" s="1310">
        <f>SUM($D$19:D50)+SUM($N$19:N50)+SUM($P$48:P50)</f>
        <v>373441.95595749957</v>
      </c>
      <c r="T50" s="397">
        <v>3</v>
      </c>
    </row>
    <row r="51" spans="2:20" ht="15.5">
      <c r="B51" s="1309">
        <f t="shared" si="10"/>
        <v>44287</v>
      </c>
      <c r="C51" s="1275"/>
      <c r="D51" s="1310">
        <v>0</v>
      </c>
      <c r="E51" s="1292"/>
      <c r="F51" s="1310">
        <f t="shared" si="13"/>
        <v>460478.895247832</v>
      </c>
      <c r="G51" s="1310"/>
      <c r="H51" s="1310">
        <f>$H$50+SUM($N$48:$N$50)</f>
        <v>39920.369075656257</v>
      </c>
      <c r="I51" s="1310"/>
      <c r="J51" s="1310">
        <f t="shared" si="14"/>
        <v>373441.95595749957</v>
      </c>
      <c r="K51" s="1292"/>
      <c r="L51" s="1312">
        <f>+'OKT WS Q Interest Rate'!$E$39</f>
        <v>3.9583333333333337E-3</v>
      </c>
      <c r="M51" s="1275"/>
      <c r="N51" s="1310">
        <f t="shared" si="11"/>
        <v>1478.2077423317692</v>
      </c>
      <c r="O51" s="1310"/>
      <c r="P51" s="1310">
        <f t="shared" si="12"/>
        <v>-42319.102788662909</v>
      </c>
      <c r="Q51" s="1310"/>
      <c r="R51" s="1310">
        <f>SUM($D$19:D51)+SUM($N$19:N51)+SUM($P$48:P51)</f>
        <v>332601.06091116834</v>
      </c>
      <c r="T51" s="397">
        <v>4</v>
      </c>
    </row>
    <row r="52" spans="2:20" ht="15.5">
      <c r="B52" s="1309">
        <f t="shared" si="10"/>
        <v>44317</v>
      </c>
      <c r="C52" s="1275"/>
      <c r="D52" s="1310">
        <v>0</v>
      </c>
      <c r="E52" s="1292"/>
      <c r="F52" s="1310">
        <f t="shared" si="13"/>
        <v>460478.895247832</v>
      </c>
      <c r="G52" s="1310"/>
      <c r="H52" s="1310">
        <f>$H$50+SUM($N$48:$N$50)</f>
        <v>39920.369075656257</v>
      </c>
      <c r="I52" s="1310"/>
      <c r="J52" s="1310">
        <f t="shared" si="14"/>
        <v>332601.06091116834</v>
      </c>
      <c r="K52" s="1292"/>
      <c r="L52" s="1312">
        <f>+'OKT WS Q Interest Rate'!$E$39</f>
        <v>3.9583333333333337E-3</v>
      </c>
      <c r="M52" s="1275"/>
      <c r="N52" s="1310">
        <f t="shared" si="11"/>
        <v>1316.5458661067082</v>
      </c>
      <c r="O52" s="1310"/>
      <c r="P52" s="1310">
        <f t="shared" si="12"/>
        <v>-42319.102788662909</v>
      </c>
      <c r="Q52" s="1310"/>
      <c r="R52" s="1310">
        <f>SUM($D$19:D52)+SUM($N$19:N52)+SUM($P$48:P52)</f>
        <v>291598.50398861221</v>
      </c>
      <c r="T52" s="397">
        <v>5</v>
      </c>
    </row>
    <row r="53" spans="2:20" ht="15.5">
      <c r="B53" s="1309">
        <f t="shared" si="10"/>
        <v>44348</v>
      </c>
      <c r="C53" s="407"/>
      <c r="D53" s="1310">
        <v>0</v>
      </c>
      <c r="E53" s="1292"/>
      <c r="F53" s="1310">
        <f t="shared" si="13"/>
        <v>460478.895247832</v>
      </c>
      <c r="G53" s="1310"/>
      <c r="H53" s="1310">
        <f>$H$50+SUM($N$48:$N$50)</f>
        <v>39920.369075656257</v>
      </c>
      <c r="I53" s="1310"/>
      <c r="J53" s="1310">
        <f t="shared" si="14"/>
        <v>291598.50398861221</v>
      </c>
      <c r="K53" s="1292"/>
      <c r="L53" s="1312">
        <f>+'OKT WS Q Interest Rate'!$E$39</f>
        <v>3.9583333333333337E-3</v>
      </c>
      <c r="M53" s="1275"/>
      <c r="N53" s="1310">
        <f t="shared" si="11"/>
        <v>1154.2440782882568</v>
      </c>
      <c r="O53" s="1310"/>
      <c r="P53" s="1310">
        <f t="shared" si="12"/>
        <v>-42319.102788662909</v>
      </c>
      <c r="Q53" s="1310"/>
      <c r="R53" s="1310">
        <f>SUM($D$19:D53)+SUM($N$19:N53)+SUM($P$48:P53)</f>
        <v>250433.6452782375</v>
      </c>
      <c r="T53" s="397">
        <v>6</v>
      </c>
    </row>
    <row r="54" spans="2:20" ht="15.5">
      <c r="B54" s="1309">
        <f t="shared" si="10"/>
        <v>44378</v>
      </c>
      <c r="C54" s="1275"/>
      <c r="D54" s="1310">
        <v>0</v>
      </c>
      <c r="E54" s="1292"/>
      <c r="F54" s="1310">
        <f t="shared" si="13"/>
        <v>460478.895247832</v>
      </c>
      <c r="G54" s="1310"/>
      <c r="H54" s="1310">
        <f>$H$53+SUM($N$51:$N$53)</f>
        <v>43869.36676238299</v>
      </c>
      <c r="I54" s="1310"/>
      <c r="J54" s="1310">
        <f t="shared" si="14"/>
        <v>250433.6452782375</v>
      </c>
      <c r="K54" s="1292"/>
      <c r="L54" s="1312">
        <f>+'OKT WS Q Interest Rate'!$E$39</f>
        <v>3.9583333333333337E-3</v>
      </c>
      <c r="M54" s="1275"/>
      <c r="N54" s="1310">
        <f t="shared" si="11"/>
        <v>991.29984589302353</v>
      </c>
      <c r="O54" s="1310"/>
      <c r="P54" s="1310">
        <f t="shared" si="12"/>
        <v>-42319.102788662909</v>
      </c>
      <c r="Q54" s="1310"/>
      <c r="R54" s="1310">
        <f>SUM($D$19:D54)+SUM($N$19:N54)+SUM($P$48:P54)</f>
        <v>209105.84233546763</v>
      </c>
      <c r="T54" s="397">
        <v>7</v>
      </c>
    </row>
    <row r="55" spans="2:20" ht="15.5">
      <c r="B55" s="1309">
        <f t="shared" si="10"/>
        <v>44409</v>
      </c>
      <c r="C55" s="1275"/>
      <c r="D55" s="1310">
        <v>0</v>
      </c>
      <c r="E55" s="1292"/>
      <c r="F55" s="1310">
        <f t="shared" si="13"/>
        <v>460478.895247832</v>
      </c>
      <c r="G55" s="1310"/>
      <c r="H55" s="1310">
        <f>$H$53+SUM($N$51:$N$53)</f>
        <v>43869.36676238299</v>
      </c>
      <c r="I55" s="1310"/>
      <c r="J55" s="1310">
        <f t="shared" si="14"/>
        <v>209105.84233546763</v>
      </c>
      <c r="K55" s="1292"/>
      <c r="L55" s="1312">
        <f>+'OKT WS Q Interest Rate'!$E$39</f>
        <v>3.9583333333333337E-3</v>
      </c>
      <c r="M55" s="1275"/>
      <c r="N55" s="1310">
        <f t="shared" si="11"/>
        <v>827.71062591122609</v>
      </c>
      <c r="O55" s="1310"/>
      <c r="P55" s="1310">
        <f t="shared" si="12"/>
        <v>-42319.102788662909</v>
      </c>
      <c r="Q55" s="1310"/>
      <c r="R55" s="1310">
        <f>SUM($D$19:D55)+SUM($N$19:N55)+SUM($P$48:P55)</f>
        <v>167614.45017271599</v>
      </c>
      <c r="T55" s="397">
        <v>8</v>
      </c>
    </row>
    <row r="56" spans="2:20" ht="15.5">
      <c r="B56" s="1309">
        <f t="shared" si="10"/>
        <v>44440</v>
      </c>
      <c r="C56" s="1275"/>
      <c r="D56" s="1310">
        <v>0</v>
      </c>
      <c r="E56" s="1292"/>
      <c r="F56" s="1310">
        <f t="shared" si="13"/>
        <v>460478.895247832</v>
      </c>
      <c r="G56" s="1310"/>
      <c r="H56" s="1310">
        <f>$H$53+SUM($N$51:$N$53)</f>
        <v>43869.36676238299</v>
      </c>
      <c r="I56" s="1310"/>
      <c r="J56" s="1310">
        <f t="shared" si="14"/>
        <v>167614.45017271599</v>
      </c>
      <c r="K56" s="1292"/>
      <c r="L56" s="1312">
        <f>+'OKT WS Q Interest Rate'!$E$39</f>
        <v>3.9583333333333337E-3</v>
      </c>
      <c r="M56" s="1275"/>
      <c r="N56" s="1310">
        <f t="shared" si="11"/>
        <v>663.47386526700086</v>
      </c>
      <c r="O56" s="1310"/>
      <c r="P56" s="1310">
        <f t="shared" si="12"/>
        <v>-42319.102788662909</v>
      </c>
      <c r="Q56" s="1310"/>
      <c r="R56" s="1310">
        <f>SUM($D$19:D56)+SUM($N$19:N56)+SUM($P$48:P56)</f>
        <v>125958.82124932011</v>
      </c>
      <c r="T56" s="397">
        <v>9</v>
      </c>
    </row>
    <row r="57" spans="2:20" ht="15.5">
      <c r="B57" s="1309">
        <f t="shared" si="10"/>
        <v>44470</v>
      </c>
      <c r="C57" s="1275"/>
      <c r="D57" s="1310">
        <v>0</v>
      </c>
      <c r="E57" s="1292"/>
      <c r="F57" s="1310">
        <f t="shared" si="13"/>
        <v>460478.895247832</v>
      </c>
      <c r="G57" s="1310"/>
      <c r="H57" s="1310">
        <f>$H$56+SUM($N$54:$N$56)</f>
        <v>46351.851099454238</v>
      </c>
      <c r="I57" s="1310"/>
      <c r="J57" s="1310">
        <f t="shared" si="14"/>
        <v>125958.82124932011</v>
      </c>
      <c r="K57" s="1292"/>
      <c r="L57" s="1312">
        <f>+'OKT WS Q Interest Rate'!$E$39</f>
        <v>3.9583333333333337E-3</v>
      </c>
      <c r="M57" s="1275"/>
      <c r="N57" s="1310">
        <f t="shared" si="11"/>
        <v>498.58700077855883</v>
      </c>
      <c r="O57" s="1310"/>
      <c r="P57" s="1310">
        <f t="shared" si="12"/>
        <v>-42319.102788662909</v>
      </c>
      <c r="Q57" s="1310"/>
      <c r="R57" s="1310">
        <f>SUM($D$19:D57)+SUM($N$19:N57)+SUM($P$48:P57)</f>
        <v>84138.305461435753</v>
      </c>
      <c r="T57" s="397">
        <v>10</v>
      </c>
    </row>
    <row r="58" spans="2:20" ht="15.5">
      <c r="B58" s="1309">
        <f t="shared" si="10"/>
        <v>44501</v>
      </c>
      <c r="C58" s="1275"/>
      <c r="D58" s="1310">
        <v>0</v>
      </c>
      <c r="E58" s="1292"/>
      <c r="F58" s="1310">
        <f t="shared" si="13"/>
        <v>460478.895247832</v>
      </c>
      <c r="G58" s="1310"/>
      <c r="H58" s="1310">
        <f>$H$56+SUM($N$54:$N$56)</f>
        <v>46351.851099454238</v>
      </c>
      <c r="I58" s="1310"/>
      <c r="J58" s="1310">
        <f t="shared" si="14"/>
        <v>84138.305461435753</v>
      </c>
      <c r="K58" s="1292"/>
      <c r="L58" s="1312">
        <f>+'OKT WS Q Interest Rate'!$E$39</f>
        <v>3.9583333333333337E-3</v>
      </c>
      <c r="M58" s="1275"/>
      <c r="N58" s="1310">
        <f t="shared" si="11"/>
        <v>333.04745911818321</v>
      </c>
      <c r="O58" s="1310"/>
      <c r="P58" s="1310">
        <f t="shared" si="12"/>
        <v>-42319.102788662909</v>
      </c>
      <c r="Q58" s="1310"/>
      <c r="R58" s="1310">
        <f>SUM($D$19:D58)+SUM($N$19:N58)+SUM($P$48:P58)</f>
        <v>42152.250131891051</v>
      </c>
      <c r="S58" s="1323"/>
      <c r="T58" s="397">
        <v>11</v>
      </c>
    </row>
    <row r="59" spans="2:20" ht="16" thickBot="1">
      <c r="B59" s="1324">
        <f t="shared" si="10"/>
        <v>44531</v>
      </c>
      <c r="C59" s="1325"/>
      <c r="D59" s="1326">
        <v>0</v>
      </c>
      <c r="E59" s="1295"/>
      <c r="F59" s="1326">
        <f>D58+F58</f>
        <v>460478.895247832</v>
      </c>
      <c r="G59" s="1326"/>
      <c r="H59" s="1326">
        <f>$H$56+SUM($N$54:$N$56)</f>
        <v>46351.851099454238</v>
      </c>
      <c r="I59" s="1326"/>
      <c r="J59" s="1326">
        <f t="shared" si="14"/>
        <v>42152.250131891051</v>
      </c>
      <c r="K59" s="1295"/>
      <c r="L59" s="1327">
        <f>+'OKT WS Q Interest Rate'!$E$39</f>
        <v>3.9583333333333337E-3</v>
      </c>
      <c r="M59" s="1325"/>
      <c r="N59" s="1326">
        <f t="shared" si="11"/>
        <v>166.85265677206877</v>
      </c>
      <c r="O59" s="1326"/>
      <c r="P59" s="1326">
        <f t="shared" si="12"/>
        <v>-42319.102788662909</v>
      </c>
      <c r="Q59" s="1326"/>
      <c r="R59" s="1326">
        <f>SUM($D$19:D59)+SUM($N$19:N59)+SUM($P$48:P59)</f>
        <v>0</v>
      </c>
      <c r="T59" s="397">
        <v>12</v>
      </c>
    </row>
    <row r="60" spans="2:20" ht="15.5">
      <c r="B60" s="1275"/>
      <c r="C60" s="1275"/>
      <c r="D60" s="1292"/>
      <c r="E60" s="1292"/>
      <c r="F60" s="1292"/>
      <c r="G60" s="1292"/>
      <c r="H60" s="1292"/>
      <c r="I60" s="1292"/>
      <c r="J60" s="1292"/>
      <c r="K60" s="1292"/>
      <c r="L60" s="1275"/>
      <c r="M60" s="1275"/>
      <c r="N60" s="1310"/>
      <c r="O60" s="1310"/>
      <c r="P60" s="1310"/>
      <c r="Q60" s="1310"/>
      <c r="R60" s="1310"/>
    </row>
    <row r="61" spans="2:20" ht="15.5">
      <c r="B61" s="407"/>
      <c r="C61" s="407"/>
      <c r="D61" s="407"/>
      <c r="E61" s="407"/>
      <c r="F61" s="407"/>
      <c r="G61" s="407"/>
      <c r="H61" s="407"/>
      <c r="I61" s="407"/>
      <c r="J61" s="407"/>
      <c r="K61" s="407"/>
      <c r="L61" s="407"/>
      <c r="M61" s="407"/>
      <c r="N61" s="1316"/>
      <c r="O61" s="1316"/>
      <c r="P61" s="1316"/>
      <c r="Q61" s="1316"/>
      <c r="R61" s="1316"/>
    </row>
    <row r="62" spans="2:20" ht="15.5">
      <c r="B62" s="1328" t="s">
        <v>700</v>
      </c>
      <c r="C62" s="1329"/>
      <c r="D62" s="1329"/>
      <c r="E62" s="1329"/>
      <c r="F62" s="1329"/>
      <c r="G62" s="1329"/>
      <c r="H62" s="1329"/>
      <c r="I62" s="1329"/>
      <c r="J62" s="1329"/>
      <c r="K62" s="1329"/>
      <c r="L62" s="1329"/>
      <c r="M62" s="1329"/>
      <c r="N62" s="1330"/>
      <c r="O62" s="1330"/>
      <c r="P62" s="1331">
        <f>(SUM(P48:P59)*-1)</f>
        <v>507829.23346395482</v>
      </c>
      <c r="Q62" s="1316"/>
      <c r="R62" s="1316"/>
    </row>
    <row r="63" spans="2:20" ht="15.5">
      <c r="B63" s="1332" t="s">
        <v>701</v>
      </c>
      <c r="C63" s="1333"/>
      <c r="D63" s="1333"/>
      <c r="E63" s="1333"/>
      <c r="F63" s="1333"/>
      <c r="G63" s="1333"/>
      <c r="H63" s="1333"/>
      <c r="I63" s="1333"/>
      <c r="J63" s="1333"/>
      <c r="K63" s="1333"/>
      <c r="L63" s="1333"/>
      <c r="M63" s="1333"/>
      <c r="N63" s="1334"/>
      <c r="O63" s="1334"/>
      <c r="P63" s="1314">
        <f>+F11</f>
        <v>460478.89524783194</v>
      </c>
      <c r="Q63" s="1316"/>
      <c r="R63" s="1316"/>
    </row>
    <row r="64" spans="2:20" ht="15.5">
      <c r="B64" s="1335" t="s">
        <v>702</v>
      </c>
      <c r="C64" s="1336"/>
      <c r="D64" s="1336"/>
      <c r="E64" s="1336"/>
      <c r="F64" s="1336"/>
      <c r="G64" s="1336"/>
      <c r="H64" s="1336"/>
      <c r="I64" s="1336"/>
      <c r="J64" s="1336"/>
      <c r="K64" s="1336"/>
      <c r="L64" s="1336"/>
      <c r="M64" s="1336"/>
      <c r="N64" s="1337"/>
      <c r="O64" s="1337"/>
      <c r="P64" s="1338">
        <f>+(P62-P63)</f>
        <v>47350.33821612288</v>
      </c>
      <c r="Q64" s="1316"/>
      <c r="R64" s="1316"/>
    </row>
    <row r="65" spans="2:18">
      <c r="B65" s="279"/>
      <c r="C65" s="279"/>
      <c r="D65" s="279"/>
      <c r="E65" s="279"/>
      <c r="F65" s="279"/>
      <c r="G65" s="279"/>
      <c r="H65" s="279"/>
      <c r="I65" s="279"/>
      <c r="J65" s="279"/>
      <c r="K65" s="279"/>
      <c r="L65" s="279"/>
      <c r="M65" s="279"/>
      <c r="N65" s="279"/>
      <c r="O65" s="279"/>
      <c r="P65" s="279"/>
      <c r="Q65" s="279"/>
      <c r="R65" s="279"/>
    </row>
    <row r="66" spans="2:18" ht="15.75" customHeight="1">
      <c r="B66" s="2066" t="s">
        <v>907</v>
      </c>
      <c r="C66" s="2066"/>
      <c r="D66" s="2066"/>
      <c r="E66" s="2066"/>
      <c r="F66" s="2066"/>
      <c r="G66" s="2066"/>
      <c r="H66" s="2066"/>
      <c r="I66" s="2066"/>
      <c r="J66" s="2066"/>
      <c r="K66" s="2066"/>
      <c r="L66" s="2066"/>
      <c r="M66" s="2066"/>
      <c r="N66" s="2066"/>
      <c r="O66" s="2066"/>
      <c r="P66" s="2066"/>
      <c r="Q66" s="1339"/>
      <c r="R66" s="1339"/>
    </row>
    <row r="67" spans="2:18" ht="12.75" customHeight="1">
      <c r="B67" s="2066"/>
      <c r="C67" s="2066"/>
      <c r="D67" s="2066"/>
      <c r="E67" s="2066"/>
      <c r="F67" s="2066"/>
      <c r="G67" s="2066"/>
      <c r="H67" s="2066"/>
      <c r="I67" s="2066"/>
      <c r="J67" s="2066"/>
      <c r="K67" s="2066"/>
      <c r="L67" s="2066"/>
      <c r="M67" s="2066"/>
      <c r="N67" s="2066"/>
      <c r="O67" s="2066"/>
      <c r="P67" s="2066"/>
      <c r="Q67" s="279"/>
      <c r="R67" s="279"/>
    </row>
    <row r="68" spans="2:18" ht="38.25" customHeight="1">
      <c r="B68" s="2066"/>
      <c r="C68" s="2066"/>
      <c r="D68" s="2066"/>
      <c r="E68" s="2066"/>
      <c r="F68" s="2066"/>
      <c r="G68" s="2066"/>
      <c r="H68" s="2066"/>
      <c r="I68" s="2066"/>
      <c r="J68" s="2066"/>
      <c r="K68" s="2066"/>
      <c r="L68" s="2066"/>
      <c r="M68" s="2066"/>
      <c r="N68" s="2066"/>
      <c r="O68" s="2066"/>
      <c r="P68" s="2066"/>
      <c r="Q68" s="1340"/>
      <c r="R68" s="1340"/>
    </row>
    <row r="70" spans="2:18" ht="22.5" customHeight="1">
      <c r="B70" s="2063" t="s">
        <v>908</v>
      </c>
      <c r="C70" s="2063"/>
      <c r="D70" s="2063"/>
      <c r="E70" s="2063"/>
      <c r="F70" s="2063"/>
      <c r="G70" s="2063"/>
      <c r="H70" s="2063"/>
      <c r="I70" s="2063"/>
      <c r="J70" s="2063"/>
      <c r="K70" s="2063"/>
      <c r="L70" s="2063"/>
      <c r="M70" s="2063"/>
      <c r="N70" s="2063"/>
      <c r="O70" s="2063"/>
      <c r="P70" s="2063"/>
    </row>
    <row r="73" spans="2:18" ht="15.5">
      <c r="B73" s="1305"/>
    </row>
  </sheetData>
  <mergeCells count="6">
    <mergeCell ref="B70:P70"/>
    <mergeCell ref="B4:R4"/>
    <mergeCell ref="B5:R5"/>
    <mergeCell ref="B6:R6"/>
    <mergeCell ref="B7:R7"/>
    <mergeCell ref="B66:P68"/>
  </mergeCells>
  <pageMargins left="0.7" right="0.7" top="0.75" bottom="0.75" header="0.3" footer="0.3"/>
  <pageSetup scale="53" fitToHeight="0" orientation="portrait" r:id="rId1"/>
  <headerFooter>
    <oddHeader>&amp;RAEP - SPP Transco Formula Rate
TCOS - WS N
Page: &amp;P of &amp;N</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topLeftCell="C27" zoomScaleNormal="100" workbookViewId="0">
      <selection activeCell="P45" sqref="P45"/>
    </sheetView>
  </sheetViews>
  <sheetFormatPr defaultColWidth="9.1796875" defaultRowHeight="12.5"/>
  <cols>
    <col min="1" max="1" width="1.7265625" style="397" customWidth="1"/>
    <col min="2" max="2" width="25.1796875" style="397" customWidth="1"/>
    <col min="3" max="3" width="1.7265625" style="397" customWidth="1"/>
    <col min="4" max="4" width="22.54296875" style="397" customWidth="1"/>
    <col min="5" max="5" width="1.7265625" style="397" customWidth="1"/>
    <col min="6" max="6" width="24.81640625" style="397" customWidth="1"/>
    <col min="7" max="7" width="1.7265625" style="397" customWidth="1"/>
    <col min="8" max="8" width="21.453125" style="397" customWidth="1"/>
    <col min="9" max="9" width="1.7265625" style="397" customWidth="1"/>
    <col min="10" max="10" width="21" style="397" customWidth="1"/>
    <col min="11" max="11" width="1.7265625" style="397" customWidth="1"/>
    <col min="12" max="12" width="18.26953125" style="397" customWidth="1"/>
    <col min="13" max="13" width="1.7265625" style="397" customWidth="1"/>
    <col min="14" max="14" width="17" style="397" customWidth="1"/>
    <col min="15" max="15" width="1.7265625" style="397" customWidth="1"/>
    <col min="16" max="16" width="18.1796875" style="397" customWidth="1"/>
    <col min="17" max="17" width="7.7265625" style="397" bestFit="1" customWidth="1"/>
    <col min="18" max="18" width="3" style="397" hidden="1" customWidth="1"/>
    <col min="19" max="19" width="9.1796875" style="397"/>
    <col min="20" max="20" width="3" style="397" bestFit="1" customWidth="1"/>
    <col min="21" max="16384" width="9.1796875" style="397"/>
  </cols>
  <sheetData>
    <row r="1" spans="1:18" ht="15.5">
      <c r="A1" s="1272"/>
    </row>
    <row r="2" spans="1:18" ht="15.5">
      <c r="A2" s="1273"/>
    </row>
    <row r="3" spans="1:18" ht="15.5">
      <c r="A3" s="1273"/>
    </row>
    <row r="4" spans="1:18" ht="15.5">
      <c r="B4" s="2064" t="str">
        <f>+'OKT TCOS'!F4</f>
        <v xml:space="preserve">AEP West SPP Member Transmission Companies </v>
      </c>
      <c r="C4" s="2064"/>
      <c r="D4" s="2064"/>
      <c r="E4" s="2064"/>
      <c r="F4" s="2064"/>
      <c r="G4" s="2064"/>
      <c r="H4" s="2064"/>
      <c r="I4" s="2064"/>
      <c r="J4" s="2064"/>
      <c r="K4" s="2064"/>
      <c r="L4" s="2064"/>
      <c r="M4" s="2064"/>
      <c r="N4" s="2064"/>
      <c r="O4" s="2064"/>
      <c r="P4" s="2064"/>
    </row>
    <row r="5" spans="1:18" ht="15.5">
      <c r="B5" s="2065" t="str">
        <f>+'OKT WS A-1 - Plant'!A3</f>
        <v xml:space="preserve">Actual / Projected 2019 Rate Year Cost of Service Formula Rate </v>
      </c>
      <c r="C5" s="2065"/>
      <c r="D5" s="2065"/>
      <c r="E5" s="2065"/>
      <c r="F5" s="2065"/>
      <c r="G5" s="2065"/>
      <c r="H5" s="2065"/>
      <c r="I5" s="2065"/>
      <c r="J5" s="2065"/>
      <c r="K5" s="2065"/>
      <c r="L5" s="2065"/>
      <c r="M5" s="2065"/>
      <c r="N5" s="2065"/>
      <c r="O5" s="2065"/>
      <c r="P5" s="2065"/>
    </row>
    <row r="6" spans="1:18" ht="15.5">
      <c r="B6" s="2065" t="s">
        <v>703</v>
      </c>
      <c r="C6" s="2065"/>
      <c r="D6" s="2065"/>
      <c r="E6" s="2065"/>
      <c r="F6" s="2065"/>
      <c r="G6" s="2065"/>
      <c r="H6" s="2065"/>
      <c r="I6" s="2065"/>
      <c r="J6" s="2065"/>
      <c r="K6" s="2065"/>
      <c r="L6" s="2065"/>
      <c r="M6" s="2065"/>
      <c r="N6" s="2065"/>
      <c r="O6" s="2065"/>
      <c r="P6" s="2065"/>
    </row>
    <row r="7" spans="1:18" ht="15.5">
      <c r="B7" s="2025" t="str">
        <f>+'OKT TCOS'!F8</f>
        <v>AEP OKLAHOMA TRANSMISSION COMPANY, INC.</v>
      </c>
      <c r="C7" s="2025"/>
      <c r="D7" s="2025"/>
      <c r="E7" s="2025"/>
      <c r="F7" s="2025"/>
      <c r="G7" s="2025"/>
      <c r="H7" s="2025"/>
      <c r="I7" s="2025"/>
      <c r="J7" s="2025"/>
      <c r="K7" s="2025"/>
      <c r="L7" s="2025"/>
      <c r="M7" s="2025"/>
      <c r="N7" s="2025"/>
      <c r="O7" s="2025"/>
      <c r="P7" s="2025"/>
      <c r="Q7" s="1341"/>
      <c r="R7" s="1341"/>
    </row>
    <row r="8" spans="1:18">
      <c r="B8" s="279"/>
      <c r="C8" s="279"/>
      <c r="D8" s="279"/>
      <c r="E8" s="279"/>
      <c r="F8" s="279"/>
      <c r="G8" s="279"/>
      <c r="H8" s="279"/>
      <c r="I8" s="279"/>
      <c r="J8" s="279"/>
      <c r="K8" s="279"/>
      <c r="L8" s="279"/>
      <c r="M8" s="279"/>
      <c r="N8" s="279"/>
      <c r="O8" s="279"/>
      <c r="P8" s="279"/>
    </row>
    <row r="9" spans="1:18">
      <c r="B9" s="279"/>
      <c r="C9" s="279"/>
      <c r="D9" s="279"/>
      <c r="E9" s="279"/>
      <c r="F9" s="279"/>
      <c r="G9" s="279"/>
      <c r="H9" s="279"/>
      <c r="I9" s="279"/>
      <c r="J9" s="279"/>
      <c r="K9" s="279"/>
      <c r="L9" s="279"/>
      <c r="M9" s="279"/>
      <c r="N9" s="279"/>
      <c r="O9" s="279"/>
      <c r="P9" s="279"/>
    </row>
    <row r="10" spans="1:18" ht="16" thickBot="1">
      <c r="B10" s="1274"/>
      <c r="C10" s="1275"/>
      <c r="D10" s="1275"/>
      <c r="E10" s="1275"/>
      <c r="F10" s="1275"/>
      <c r="G10" s="1275"/>
      <c r="H10" s="1275"/>
      <c r="I10" s="1275"/>
      <c r="J10" s="1275"/>
      <c r="K10" s="1275"/>
      <c r="O10" s="1275"/>
      <c r="P10" s="1275"/>
    </row>
    <row r="11" spans="1:18" ht="51">
      <c r="B11" s="1276" t="str">
        <f>"True up Revenue Requirement For Year "&amp;J11&amp;" Available May, "&amp;J12</f>
        <v>True up Revenue Requirement For Year 2019 Available May, 2020</v>
      </c>
      <c r="C11" s="1275"/>
      <c r="D11" s="1276" t="s">
        <v>928</v>
      </c>
      <c r="E11" s="1277"/>
      <c r="F11" s="1278" t="s">
        <v>683</v>
      </c>
      <c r="G11" s="407"/>
      <c r="H11" s="1279" t="s">
        <v>684</v>
      </c>
      <c r="I11" s="1275"/>
      <c r="J11" s="1280">
        <f>+'OKT TCOS'!N2</f>
        <v>2019</v>
      </c>
      <c r="K11" s="1275"/>
      <c r="O11" s="407"/>
      <c r="P11" s="407"/>
    </row>
    <row r="12" spans="1:18" ht="15.5">
      <c r="B12" s="1281" t="s">
        <v>253</v>
      </c>
      <c r="C12" s="1275"/>
      <c r="D12" s="1281"/>
      <c r="E12" s="1277"/>
      <c r="F12" s="1282"/>
      <c r="G12" s="407"/>
      <c r="H12" s="1283" t="s">
        <v>685</v>
      </c>
      <c r="I12" s="1284"/>
      <c r="J12" s="1285">
        <f>J11+1</f>
        <v>2020</v>
      </c>
      <c r="O12" s="407"/>
      <c r="P12" s="407"/>
    </row>
    <row r="13" spans="1:18" ht="16" thickBot="1">
      <c r="B13" s="1286">
        <f>+'Zonal Rates'!K34</f>
        <v>58234469.364352345</v>
      </c>
      <c r="C13" s="1287" t="s">
        <v>686</v>
      </c>
      <c r="D13" s="1286">
        <v>88619803.679999992</v>
      </c>
      <c r="E13" s="1288" t="s">
        <v>687</v>
      </c>
      <c r="F13" s="1289">
        <f>IF(B13=0,0,D13-B13)</f>
        <v>30385334.315647647</v>
      </c>
      <c r="G13" s="1290"/>
      <c r="H13" s="1291" t="s">
        <v>688</v>
      </c>
      <c r="I13" s="1292"/>
      <c r="J13" s="1293">
        <f>J12+1</f>
        <v>2021</v>
      </c>
      <c r="O13" s="407"/>
      <c r="P13" s="407"/>
    </row>
    <row r="14" spans="1:18" ht="15.5">
      <c r="B14" s="1292"/>
      <c r="C14" s="1294"/>
      <c r="D14" s="1292"/>
      <c r="E14" s="1292"/>
      <c r="F14" s="1292"/>
      <c r="G14" s="1292"/>
      <c r="H14" s="407"/>
      <c r="I14" s="407"/>
      <c r="O14" s="407"/>
      <c r="P14" s="407"/>
    </row>
    <row r="15" spans="1:18" ht="16" thickBot="1">
      <c r="B15" s="1295"/>
      <c r="C15" s="1296"/>
      <c r="D15" s="1295"/>
      <c r="E15" s="1295"/>
      <c r="F15" s="1295"/>
      <c r="G15" s="1295"/>
      <c r="H15" s="1295"/>
      <c r="I15" s="1295"/>
      <c r="J15" s="1295"/>
      <c r="K15" s="1295"/>
      <c r="L15" s="1295"/>
      <c r="M15" s="1295"/>
      <c r="N15" s="1298"/>
      <c r="O15" s="1298"/>
      <c r="P15" s="1298"/>
    </row>
    <row r="16" spans="1:18" ht="15.5">
      <c r="B16" s="1299"/>
      <c r="C16" s="1294"/>
      <c r="D16" s="1292"/>
      <c r="E16" s="1292"/>
      <c r="F16" s="1292"/>
      <c r="G16" s="1292"/>
      <c r="H16" s="1292"/>
      <c r="I16" s="1292"/>
      <c r="J16" s="1292"/>
      <c r="K16" s="1292"/>
      <c r="L16" s="1292"/>
      <c r="M16" s="1292"/>
      <c r="N16" s="407"/>
      <c r="O16" s="407"/>
      <c r="P16" s="407"/>
    </row>
    <row r="17" spans="2:18" ht="62">
      <c r="B17" s="1300" t="s">
        <v>689</v>
      </c>
      <c r="C17" s="1294"/>
      <c r="D17" s="1301" t="s">
        <v>690</v>
      </c>
      <c r="E17" s="1301"/>
      <c r="F17" s="1301" t="s">
        <v>691</v>
      </c>
      <c r="G17" s="1301"/>
      <c r="H17" s="1301" t="s">
        <v>692</v>
      </c>
      <c r="I17" s="1292"/>
      <c r="J17" s="1302" t="s">
        <v>693</v>
      </c>
      <c r="K17" s="1292"/>
      <c r="L17" s="1301" t="s">
        <v>910</v>
      </c>
      <c r="M17" s="1303"/>
      <c r="N17" s="1302" t="s">
        <v>694</v>
      </c>
      <c r="O17" s="1304"/>
      <c r="P17" s="1301" t="s">
        <v>696</v>
      </c>
    </row>
    <row r="18" spans="2:18" ht="15.5">
      <c r="B18" s="1305"/>
      <c r="C18" s="1294"/>
      <c r="D18" s="407"/>
      <c r="E18" s="407"/>
      <c r="F18" s="407"/>
      <c r="G18" s="407"/>
      <c r="H18" s="407"/>
      <c r="I18" s="1306"/>
      <c r="J18" s="1306"/>
      <c r="K18" s="1306"/>
      <c r="N18" s="407"/>
      <c r="O18" s="407"/>
      <c r="P18" s="407"/>
    </row>
    <row r="19" spans="2:18" ht="15.5">
      <c r="B19" s="1342" t="s">
        <v>697</v>
      </c>
      <c r="C19" s="1294"/>
      <c r="D19" s="1294"/>
      <c r="E19" s="1294"/>
      <c r="F19" s="1294"/>
      <c r="G19" s="1294"/>
      <c r="H19" s="1294"/>
      <c r="I19" s="1294"/>
      <c r="J19" s="1294"/>
      <c r="K19" s="1294"/>
      <c r="L19" s="407"/>
      <c r="M19" s="407"/>
      <c r="N19" s="1303"/>
      <c r="O19" s="1294"/>
      <c r="P19" s="1294"/>
    </row>
    <row r="20" spans="2:18" ht="15.5">
      <c r="B20" s="1308" t="s">
        <v>125</v>
      </c>
      <c r="C20" s="1294"/>
      <c r="D20" s="1294"/>
      <c r="E20" s="1294"/>
      <c r="F20" s="1294"/>
      <c r="G20" s="1294"/>
      <c r="H20" s="1294"/>
      <c r="I20" s="1294"/>
      <c r="J20" s="1294"/>
      <c r="K20" s="1294"/>
      <c r="L20" s="407"/>
      <c r="M20" s="407"/>
      <c r="N20" s="1303"/>
      <c r="O20" s="1294"/>
      <c r="P20" s="1294"/>
    </row>
    <row r="21" spans="2:18" ht="15.5">
      <c r="B21" s="1309">
        <f t="shared" ref="B21:B32" si="0">DATE($J$11,R21,1)</f>
        <v>43466</v>
      </c>
      <c r="C21" s="1275"/>
      <c r="D21" s="1310">
        <f>F13/12</f>
        <v>2532111.1929706372</v>
      </c>
      <c r="E21" s="1311"/>
      <c r="F21" s="1310">
        <v>0</v>
      </c>
      <c r="G21" s="1310"/>
      <c r="H21" s="1310">
        <v>0</v>
      </c>
      <c r="I21" s="1310"/>
      <c r="J21" s="1310">
        <f>F21+H21</f>
        <v>0</v>
      </c>
      <c r="K21" s="1311"/>
      <c r="L21" s="1312">
        <f>+'OKT WS Q Interest Rate'!E13</f>
        <v>4.4000000000000003E-3</v>
      </c>
      <c r="M21" s="1313"/>
      <c r="N21" s="1310">
        <f t="shared" ref="N21:N32" si="1">J21*L21</f>
        <v>0</v>
      </c>
      <c r="O21" s="1310"/>
      <c r="P21" s="1310">
        <f>D21+N21</f>
        <v>2532111.1929706372</v>
      </c>
      <c r="R21" s="397">
        <v>1</v>
      </c>
    </row>
    <row r="22" spans="2:18" ht="15.5">
      <c r="B22" s="1309">
        <f t="shared" si="0"/>
        <v>43497</v>
      </c>
      <c r="C22" s="1275"/>
      <c r="D22" s="1310">
        <f>+D21</f>
        <v>2532111.1929706372</v>
      </c>
      <c r="E22" s="1311"/>
      <c r="F22" s="1310">
        <f>D21</f>
        <v>2532111.1929706372</v>
      </c>
      <c r="G22" s="1310"/>
      <c r="H22" s="1310">
        <v>0</v>
      </c>
      <c r="I22" s="1310"/>
      <c r="J22" s="1310">
        <f t="shared" ref="J22:J31" si="2">F22+H22</f>
        <v>2532111.1929706372</v>
      </c>
      <c r="K22" s="1311"/>
      <c r="L22" s="1312">
        <f>+'OKT WS Q Interest Rate'!E14</f>
        <v>4.0000000000000001E-3</v>
      </c>
      <c r="M22" s="1313"/>
      <c r="N22" s="1310">
        <f t="shared" si="1"/>
        <v>10128.444771882549</v>
      </c>
      <c r="O22" s="1310"/>
      <c r="P22" s="1310">
        <f>SUM($D$21:D22)+SUM($N$21:N22)</f>
        <v>5074350.8307131566</v>
      </c>
      <c r="R22" s="397">
        <v>2</v>
      </c>
    </row>
    <row r="23" spans="2:18" ht="15.5">
      <c r="B23" s="1309">
        <f t="shared" si="0"/>
        <v>43525</v>
      </c>
      <c r="C23" s="1275"/>
      <c r="D23" s="1310">
        <f>+D22</f>
        <v>2532111.1929706372</v>
      </c>
      <c r="E23" s="1311"/>
      <c r="F23" s="1310">
        <f>D22+F22</f>
        <v>5064222.3859412745</v>
      </c>
      <c r="G23" s="1310"/>
      <c r="H23" s="1310">
        <v>0</v>
      </c>
      <c r="I23" s="1310"/>
      <c r="J23" s="1310">
        <f t="shared" si="2"/>
        <v>5064222.3859412745</v>
      </c>
      <c r="K23" s="1311"/>
      <c r="L23" s="1312">
        <f>+'OKT WS Q Interest Rate'!E15</f>
        <v>4.4000000000000003E-3</v>
      </c>
      <c r="M23" s="1313"/>
      <c r="N23" s="1310">
        <f t="shared" si="1"/>
        <v>22282.578498141607</v>
      </c>
      <c r="O23" s="1310"/>
      <c r="P23" s="1310">
        <f>SUM($D$21:D23)+SUM($N$21:N23)</f>
        <v>7628744.6021819357</v>
      </c>
      <c r="R23" s="397">
        <v>3</v>
      </c>
    </row>
    <row r="24" spans="2:18" ht="15.5">
      <c r="B24" s="1309">
        <f t="shared" si="0"/>
        <v>43556</v>
      </c>
      <c r="C24" s="1275"/>
      <c r="D24" s="1310">
        <f>+D23</f>
        <v>2532111.1929706372</v>
      </c>
      <c r="E24" s="1311"/>
      <c r="F24" s="1310">
        <f t="shared" ref="F24:F30" si="3">D23+F23</f>
        <v>7596333.5789119117</v>
      </c>
      <c r="G24" s="1310"/>
      <c r="H24" s="1310">
        <f>SUM($N$21:$N$23)</f>
        <v>32411.023270024154</v>
      </c>
      <c r="I24" s="1310"/>
      <c r="J24" s="1310">
        <f t="shared" si="2"/>
        <v>7628744.6021819357</v>
      </c>
      <c r="K24" s="1311"/>
      <c r="L24" s="1312">
        <f>+'OKT WS Q Interest Rate'!E16</f>
        <v>4.4999999999999997E-3</v>
      </c>
      <c r="M24" s="1313"/>
      <c r="N24" s="1310">
        <f t="shared" si="1"/>
        <v>34329.350709818711</v>
      </c>
      <c r="O24" s="1310"/>
      <c r="P24" s="1310">
        <f>SUM($D$21:D24)+SUM($N$21:N24)</f>
        <v>10195185.145862391</v>
      </c>
      <c r="R24" s="397">
        <v>4</v>
      </c>
    </row>
    <row r="25" spans="2:18" ht="15.5">
      <c r="B25" s="1309">
        <f t="shared" si="0"/>
        <v>43586</v>
      </c>
      <c r="C25" s="1275"/>
      <c r="D25" s="1310">
        <f t="shared" ref="D25:D30" si="4">+D24</f>
        <v>2532111.1929706372</v>
      </c>
      <c r="E25" s="1311"/>
      <c r="F25" s="1310">
        <f t="shared" si="3"/>
        <v>10128444.771882549</v>
      </c>
      <c r="G25" s="1310"/>
      <c r="H25" s="1310">
        <f t="shared" ref="H25:H26" si="5">SUM($N$21:$N$23)</f>
        <v>32411.023270024154</v>
      </c>
      <c r="I25" s="1310"/>
      <c r="J25" s="1310">
        <f t="shared" si="2"/>
        <v>10160855.795152573</v>
      </c>
      <c r="K25" s="1311"/>
      <c r="L25" s="1312">
        <f>+'OKT WS Q Interest Rate'!E17</f>
        <v>4.5999999999999999E-3</v>
      </c>
      <c r="M25" s="1313"/>
      <c r="N25" s="1310">
        <f t="shared" si="1"/>
        <v>46739.936657701837</v>
      </c>
      <c r="O25" s="1310"/>
      <c r="P25" s="1310">
        <f>SUM($D$21:D25)+SUM($N$21:N25)</f>
        <v>12774036.275490731</v>
      </c>
      <c r="R25" s="397">
        <v>5</v>
      </c>
    </row>
    <row r="26" spans="2:18" ht="15.5">
      <c r="B26" s="1309">
        <f t="shared" si="0"/>
        <v>43617</v>
      </c>
      <c r="C26" s="1275"/>
      <c r="D26" s="1310">
        <f t="shared" si="4"/>
        <v>2532111.1929706372</v>
      </c>
      <c r="E26" s="1311"/>
      <c r="F26" s="1310">
        <f t="shared" si="3"/>
        <v>12660555.964853186</v>
      </c>
      <c r="G26" s="1310"/>
      <c r="H26" s="1310">
        <f t="shared" si="5"/>
        <v>32411.023270024154</v>
      </c>
      <c r="I26" s="1310"/>
      <c r="J26" s="1310">
        <f t="shared" si="2"/>
        <v>12692966.98812321</v>
      </c>
      <c r="K26" s="1311"/>
      <c r="L26" s="1312">
        <f>+'OKT WS Q Interest Rate'!E18</f>
        <v>4.4999999999999997E-3</v>
      </c>
      <c r="M26" s="1313"/>
      <c r="N26" s="1310">
        <f t="shared" si="1"/>
        <v>57118.351446554443</v>
      </c>
      <c r="O26" s="1310"/>
      <c r="P26" s="1310">
        <f>SUM($D$21:D26)+SUM($N$21:N26)</f>
        <v>15363265.819907922</v>
      </c>
      <c r="R26" s="397">
        <v>6</v>
      </c>
    </row>
    <row r="27" spans="2:18" ht="15.5">
      <c r="B27" s="1309">
        <f t="shared" si="0"/>
        <v>43647</v>
      </c>
      <c r="C27" s="1275"/>
      <c r="D27" s="1310">
        <f t="shared" si="4"/>
        <v>2532111.1929706372</v>
      </c>
      <c r="E27" s="1311"/>
      <c r="F27" s="1310">
        <f t="shared" si="3"/>
        <v>15192667.157823823</v>
      </c>
      <c r="G27" s="1310"/>
      <c r="H27" s="1310">
        <f>$H$26+SUM($N$24:$N$26)</f>
        <v>170598.66208409914</v>
      </c>
      <c r="I27" s="1310"/>
      <c r="J27" s="1310">
        <f t="shared" si="2"/>
        <v>15363265.819907922</v>
      </c>
      <c r="K27" s="1311"/>
      <c r="L27" s="1312">
        <f>+'OKT WS Q Interest Rate'!E19</f>
        <v>4.7000000000000002E-3</v>
      </c>
      <c r="M27" s="1313"/>
      <c r="N27" s="1310">
        <f t="shared" si="1"/>
        <v>72207.349353567231</v>
      </c>
      <c r="O27" s="1310"/>
      <c r="P27" s="1310">
        <f>SUM($D$21:D27)+SUM($N$21:N27)</f>
        <v>17967584.362232126</v>
      </c>
      <c r="R27" s="397">
        <v>7</v>
      </c>
    </row>
    <row r="28" spans="2:18" ht="15.5">
      <c r="B28" s="1309">
        <f t="shared" si="0"/>
        <v>43678</v>
      </c>
      <c r="C28" s="1275"/>
      <c r="D28" s="1310">
        <f t="shared" si="4"/>
        <v>2532111.1929706372</v>
      </c>
      <c r="E28" s="1311"/>
      <c r="F28" s="1310">
        <f t="shared" si="3"/>
        <v>17724778.350794461</v>
      </c>
      <c r="G28" s="1310"/>
      <c r="H28" s="1310">
        <f>$H$26+SUM($N$24:$N$26)</f>
        <v>170598.66208409914</v>
      </c>
      <c r="I28" s="1310"/>
      <c r="J28" s="1310">
        <f t="shared" si="2"/>
        <v>17895377.01287856</v>
      </c>
      <c r="K28" s="1311"/>
      <c r="L28" s="1312">
        <f>+'OKT WS Q Interest Rate'!E20</f>
        <v>4.7000000000000002E-3</v>
      </c>
      <c r="M28" s="1313"/>
      <c r="N28" s="1310">
        <f t="shared" si="1"/>
        <v>84108.271960529237</v>
      </c>
      <c r="O28" s="1310"/>
      <c r="P28" s="1310">
        <f>SUM($D$21:D28)+SUM($N$21:N28)</f>
        <v>20583803.827163294</v>
      </c>
      <c r="R28" s="397">
        <v>8</v>
      </c>
    </row>
    <row r="29" spans="2:18" ht="15.5">
      <c r="B29" s="1309">
        <f t="shared" si="0"/>
        <v>43709</v>
      </c>
      <c r="C29" s="1275"/>
      <c r="D29" s="1310">
        <f t="shared" si="4"/>
        <v>2532111.1929706372</v>
      </c>
      <c r="E29" s="1311"/>
      <c r="F29" s="1310">
        <f t="shared" si="3"/>
        <v>20256889.543765098</v>
      </c>
      <c r="G29" s="1310"/>
      <c r="H29" s="1310">
        <f>$H$26+SUM($N$24:$N$26)</f>
        <v>170598.66208409914</v>
      </c>
      <c r="I29" s="1310"/>
      <c r="J29" s="1310">
        <f t="shared" si="2"/>
        <v>20427488.205849197</v>
      </c>
      <c r="K29" s="1311"/>
      <c r="L29" s="1312">
        <f>+'OKT WS Q Interest Rate'!E21</f>
        <v>4.4999999999999997E-3</v>
      </c>
      <c r="M29" s="1313"/>
      <c r="N29" s="1310">
        <f t="shared" si="1"/>
        <v>91923.696926321383</v>
      </c>
      <c r="O29" s="1310"/>
      <c r="P29" s="1310">
        <f>SUM($D$21:D29)+SUM($N$21:N29)</f>
        <v>23207838.717060253</v>
      </c>
      <c r="R29" s="397">
        <v>9</v>
      </c>
    </row>
    <row r="30" spans="2:18" ht="15.5">
      <c r="B30" s="1309">
        <f t="shared" si="0"/>
        <v>43739</v>
      </c>
      <c r="C30" s="1275"/>
      <c r="D30" s="1310">
        <f t="shared" si="4"/>
        <v>2532111.1929706372</v>
      </c>
      <c r="E30" s="1311"/>
      <c r="F30" s="1310">
        <f t="shared" si="3"/>
        <v>22789000.736735735</v>
      </c>
      <c r="G30" s="1310"/>
      <c r="H30" s="1310">
        <f>$H$29+SUM($N$27:$N$29)</f>
        <v>418837.980324517</v>
      </c>
      <c r="I30" s="1310"/>
      <c r="J30" s="1310">
        <f t="shared" si="2"/>
        <v>23207838.717060253</v>
      </c>
      <c r="K30" s="1311"/>
      <c r="L30" s="1312">
        <f>+'OKT WS Q Interest Rate'!E22</f>
        <v>4.5999999999999999E-3</v>
      </c>
      <c r="M30" s="1313"/>
      <c r="N30" s="1310">
        <f t="shared" si="1"/>
        <v>106756.05809847717</v>
      </c>
      <c r="O30" s="1310"/>
      <c r="P30" s="1310">
        <f>SUM($D$21:D30)+SUM($N$21:N30)</f>
        <v>25846705.968129367</v>
      </c>
      <c r="R30" s="397">
        <v>10</v>
      </c>
    </row>
    <row r="31" spans="2:18" ht="15.5">
      <c r="B31" s="1309">
        <f t="shared" si="0"/>
        <v>43770</v>
      </c>
      <c r="C31" s="1275"/>
      <c r="D31" s="1310">
        <f>+D30</f>
        <v>2532111.1929706372</v>
      </c>
      <c r="E31" s="1311"/>
      <c r="F31" s="1310">
        <f>D30+F30</f>
        <v>25321111.929706372</v>
      </c>
      <c r="G31" s="1310"/>
      <c r="H31" s="1310">
        <f>$H$29+SUM($N$27:$N$29)</f>
        <v>418837.980324517</v>
      </c>
      <c r="I31" s="1310"/>
      <c r="J31" s="1310">
        <f t="shared" si="2"/>
        <v>25739949.91003089</v>
      </c>
      <c r="K31" s="1311"/>
      <c r="L31" s="1312">
        <f>+'OKT WS Q Interest Rate'!E23</f>
        <v>4.4999999999999997E-3</v>
      </c>
      <c r="M31" s="1313"/>
      <c r="N31" s="1310">
        <f t="shared" si="1"/>
        <v>115829.774595139</v>
      </c>
      <c r="O31" s="1310"/>
      <c r="P31" s="1310">
        <f>SUM($D$21:D31)+SUM($N$21:N31)</f>
        <v>28494646.935695142</v>
      </c>
      <c r="R31" s="397">
        <v>11</v>
      </c>
    </row>
    <row r="32" spans="2:18" ht="15.5">
      <c r="B32" s="1309">
        <f t="shared" si="0"/>
        <v>43800</v>
      </c>
      <c r="C32" s="1275"/>
      <c r="D32" s="1310">
        <f>+D31</f>
        <v>2532111.1929706372</v>
      </c>
      <c r="E32" s="1311"/>
      <c r="F32" s="1310">
        <f>D31+F31</f>
        <v>27853223.12267701</v>
      </c>
      <c r="G32" s="1310"/>
      <c r="H32" s="1310">
        <f>$H$29+SUM($N$27:$N$29)</f>
        <v>418837.980324517</v>
      </c>
      <c r="I32" s="1310"/>
      <c r="J32" s="1310">
        <f>F32+H32</f>
        <v>28272061.103001527</v>
      </c>
      <c r="K32" s="1311"/>
      <c r="L32" s="1312">
        <f>+'OKT WS Q Interest Rate'!E24</f>
        <v>4.5999999999999999E-3</v>
      </c>
      <c r="M32" s="1313"/>
      <c r="N32" s="1310">
        <f t="shared" si="1"/>
        <v>130051.48107380702</v>
      </c>
      <c r="O32" s="1310"/>
      <c r="P32" s="1310">
        <f>SUM($D$21:D32)+SUM($N$21:N32)</f>
        <v>31156809.609739587</v>
      </c>
      <c r="R32" s="397">
        <v>12</v>
      </c>
    </row>
    <row r="33" spans="2:20" ht="15.5">
      <c r="B33" s="1275"/>
      <c r="C33" s="1275"/>
      <c r="D33" s="1310"/>
      <c r="E33" s="1311"/>
      <c r="F33" s="1310"/>
      <c r="G33" s="1310"/>
      <c r="H33" s="1310"/>
      <c r="I33" s="1310"/>
      <c r="J33" s="1310"/>
      <c r="K33" s="1311"/>
      <c r="L33" s="1294"/>
      <c r="M33" s="1275"/>
      <c r="N33" s="1314"/>
      <c r="O33" s="1310"/>
      <c r="P33" s="1315"/>
    </row>
    <row r="34" spans="2:20" ht="15.5">
      <c r="B34" s="1308" t="s">
        <v>698</v>
      </c>
      <c r="C34" s="1275"/>
      <c r="D34" s="1310"/>
      <c r="E34" s="1311"/>
      <c r="F34" s="1310"/>
      <c r="G34" s="1310"/>
      <c r="H34" s="1310"/>
      <c r="I34" s="1310"/>
      <c r="J34" s="1310"/>
      <c r="K34" s="1311"/>
      <c r="L34" s="1294"/>
      <c r="M34" s="1275"/>
      <c r="N34" s="1310"/>
      <c r="O34" s="1310"/>
      <c r="P34" s="1316"/>
    </row>
    <row r="35" spans="2:20" ht="15.5">
      <c r="B35" s="1309">
        <f t="shared" ref="B35:B40" si="6">DATE($J$12,R35,1)</f>
        <v>43831</v>
      </c>
      <c r="C35" s="1275"/>
      <c r="D35" s="1310">
        <v>0</v>
      </c>
      <c r="E35" s="1311"/>
      <c r="F35" s="1310">
        <f>D32+F32</f>
        <v>30385334.315647647</v>
      </c>
      <c r="G35" s="1310"/>
      <c r="H35" s="1310">
        <f>$H$32+SUM($N$30:$N$32)</f>
        <v>771475.29409194016</v>
      </c>
      <c r="I35" s="1310"/>
      <c r="J35" s="1310">
        <f>F35+H35</f>
        <v>31156809.609739587</v>
      </c>
      <c r="K35" s="1311"/>
      <c r="L35" s="1312">
        <f>+'OKT WS Q Interest Rate'!E25</f>
        <v>4.1999999999999997E-3</v>
      </c>
      <c r="M35" s="1313"/>
      <c r="N35" s="1310">
        <f t="shared" ref="N35:N40" si="7">J35*L35</f>
        <v>130858.60036090626</v>
      </c>
      <c r="O35" s="1310"/>
      <c r="P35" s="1310">
        <f>SUM($D$21:D35)+SUM($N$21:N35)</f>
        <v>31287668.210100494</v>
      </c>
      <c r="R35" s="397">
        <v>1</v>
      </c>
    </row>
    <row r="36" spans="2:20" ht="15.5">
      <c r="B36" s="1309">
        <f t="shared" si="6"/>
        <v>43862</v>
      </c>
      <c r="C36" s="1275"/>
      <c r="D36" s="1310">
        <v>0</v>
      </c>
      <c r="E36" s="1311"/>
      <c r="F36" s="1310">
        <f>D35+F35</f>
        <v>30385334.315647647</v>
      </c>
      <c r="G36" s="1310"/>
      <c r="H36" s="1310">
        <f>$H$32+SUM($N$30:$N$32)</f>
        <v>771475.29409194016</v>
      </c>
      <c r="I36" s="1310"/>
      <c r="J36" s="1310">
        <f>F36+H36</f>
        <v>31156809.609739587</v>
      </c>
      <c r="K36" s="1311"/>
      <c r="L36" s="1312">
        <f>+'OKT WS Q Interest Rate'!E26</f>
        <v>3.8999999999999998E-3</v>
      </c>
      <c r="M36" s="1313"/>
      <c r="N36" s="1310">
        <f t="shared" si="7"/>
        <v>121511.55747798439</v>
      </c>
      <c r="O36" s="1310"/>
      <c r="P36" s="1310">
        <f>SUM($D$21:D36)+SUM($N$21:N36)</f>
        <v>31409179.767578479</v>
      </c>
      <c r="R36" s="397">
        <v>2</v>
      </c>
    </row>
    <row r="37" spans="2:20" ht="15.5">
      <c r="B37" s="1309">
        <f t="shared" si="6"/>
        <v>43891</v>
      </c>
      <c r="C37" s="1275"/>
      <c r="D37" s="1310">
        <v>0</v>
      </c>
      <c r="E37" s="1311"/>
      <c r="F37" s="1310">
        <f t="shared" ref="F37:F40" si="8">D36+F36</f>
        <v>30385334.315647647</v>
      </c>
      <c r="G37" s="1310"/>
      <c r="H37" s="1310">
        <f>$H$32+SUM($N$30:$N$32)</f>
        <v>771475.29409194016</v>
      </c>
      <c r="I37" s="1310"/>
      <c r="J37" s="1310">
        <f t="shared" ref="J37:J40" si="9">F37+H37</f>
        <v>31156809.609739587</v>
      </c>
      <c r="K37" s="1311"/>
      <c r="L37" s="1312">
        <f>+'OKT WS Q Interest Rate'!E27</f>
        <v>4.1999999999999997E-3</v>
      </c>
      <c r="M37" s="1313"/>
      <c r="N37" s="1310">
        <f t="shared" si="7"/>
        <v>130858.60036090626</v>
      </c>
      <c r="O37" s="1310"/>
      <c r="P37" s="1310">
        <f>SUM($D$21:D37)+SUM($N$21:N37)</f>
        <v>31540038.367939383</v>
      </c>
      <c r="R37" s="397">
        <v>3</v>
      </c>
    </row>
    <row r="38" spans="2:20" ht="15.5">
      <c r="B38" s="1309">
        <f t="shared" si="6"/>
        <v>43922</v>
      </c>
      <c r="C38" s="1275"/>
      <c r="D38" s="1310">
        <v>0</v>
      </c>
      <c r="E38" s="1311"/>
      <c r="F38" s="1310">
        <f t="shared" si="8"/>
        <v>30385334.315647647</v>
      </c>
      <c r="G38" s="1310"/>
      <c r="H38" s="1310">
        <f>$H$37+SUM($N$35:$N$37)</f>
        <v>1154704.0522917369</v>
      </c>
      <c r="I38" s="1310"/>
      <c r="J38" s="1310">
        <f>F38+H38</f>
        <v>31540038.367939383</v>
      </c>
      <c r="K38" s="1311"/>
      <c r="L38" s="1312">
        <f>+'OKT WS Q Interest Rate'!E28</f>
        <v>3.8999999999999998E-3</v>
      </c>
      <c r="M38" s="1313"/>
      <c r="N38" s="1310">
        <f t="shared" si="7"/>
        <v>123006.14963496359</v>
      </c>
      <c r="O38" s="1310"/>
      <c r="P38" s="1310">
        <f>SUM($D$21:D38)+SUM($N$21:N38)</f>
        <v>31663044.517574348</v>
      </c>
      <c r="R38" s="397">
        <v>4</v>
      </c>
    </row>
    <row r="39" spans="2:20" ht="15.5">
      <c r="B39" s="1309">
        <f t="shared" si="6"/>
        <v>43952</v>
      </c>
      <c r="C39" s="1275"/>
      <c r="D39" s="1310">
        <v>0</v>
      </c>
      <c r="E39" s="1311"/>
      <c r="F39" s="1310">
        <f t="shared" si="8"/>
        <v>30385334.315647647</v>
      </c>
      <c r="G39" s="1310"/>
      <c r="H39" s="1310">
        <f>$H$37+SUM($N$35:$N$37)</f>
        <v>1154704.0522917369</v>
      </c>
      <c r="I39" s="1310"/>
      <c r="J39" s="1310">
        <f t="shared" si="9"/>
        <v>31540038.367939383</v>
      </c>
      <c r="K39" s="1311"/>
      <c r="L39" s="1312">
        <f>+'OKT WS Q Interest Rate'!E29</f>
        <v>4.0000000000000001E-3</v>
      </c>
      <c r="M39" s="1313"/>
      <c r="N39" s="1310">
        <f t="shared" si="7"/>
        <v>126160.15347175753</v>
      </c>
      <c r="O39" s="1310"/>
      <c r="P39" s="1310">
        <f>SUM($D$21:D39)+SUM($N$21:N39)</f>
        <v>31789204.671046104</v>
      </c>
      <c r="R39" s="397">
        <v>5</v>
      </c>
    </row>
    <row r="40" spans="2:20" ht="16" thickBot="1">
      <c r="B40" s="1324">
        <f t="shared" si="6"/>
        <v>43983</v>
      </c>
      <c r="C40" s="1325"/>
      <c r="D40" s="1326">
        <v>0</v>
      </c>
      <c r="E40" s="1343"/>
      <c r="F40" s="1326">
        <f t="shared" si="8"/>
        <v>30385334.315647647</v>
      </c>
      <c r="G40" s="1326"/>
      <c r="H40" s="1326">
        <f>$H$37+SUM($N$35:$N$37)</f>
        <v>1154704.0522917369</v>
      </c>
      <c r="I40" s="1326"/>
      <c r="J40" s="1326">
        <f t="shared" si="9"/>
        <v>31540038.367939383</v>
      </c>
      <c r="K40" s="1343"/>
      <c r="L40" s="1327">
        <f>+'OKT WS Q Interest Rate'!E30</f>
        <v>3.8999999999999998E-3</v>
      </c>
      <c r="M40" s="1344"/>
      <c r="N40" s="1326">
        <f t="shared" si="7"/>
        <v>123006.14963496359</v>
      </c>
      <c r="O40" s="1326"/>
      <c r="P40" s="1326">
        <f>SUM($D$21:D40)+SUM($N$21:N40)</f>
        <v>31912210.820681069</v>
      </c>
      <c r="R40" s="397">
        <v>6</v>
      </c>
    </row>
    <row r="41" spans="2:20" ht="15.5">
      <c r="B41" s="1275"/>
      <c r="C41" s="1275"/>
      <c r="D41" s="1292"/>
      <c r="E41" s="1292"/>
      <c r="F41" s="1292"/>
      <c r="G41" s="1292"/>
      <c r="H41" s="1292"/>
      <c r="I41" s="1292"/>
      <c r="J41" s="1292"/>
      <c r="K41" s="1292"/>
      <c r="L41" s="1275"/>
      <c r="M41" s="1275"/>
      <c r="N41" s="1310"/>
      <c r="O41" s="1310"/>
      <c r="P41" s="1310"/>
    </row>
    <row r="42" spans="2:20" ht="15.5">
      <c r="B42" s="407"/>
      <c r="C42" s="407"/>
      <c r="D42" s="407"/>
      <c r="E42" s="407"/>
      <c r="F42" s="407"/>
      <c r="G42" s="407"/>
      <c r="H42" s="407"/>
      <c r="I42" s="407"/>
      <c r="J42" s="407"/>
      <c r="K42" s="407"/>
      <c r="L42" s="407"/>
      <c r="M42" s="407"/>
      <c r="N42" s="1316"/>
      <c r="O42" s="1316"/>
      <c r="P42" s="1316"/>
    </row>
    <row r="43" spans="2:20" ht="15.5">
      <c r="B43" s="1328" t="s">
        <v>700</v>
      </c>
      <c r="C43" s="1329"/>
      <c r="D43" s="1329"/>
      <c r="E43" s="1329"/>
      <c r="F43" s="1329"/>
      <c r="G43" s="1329"/>
      <c r="H43" s="1329"/>
      <c r="I43" s="1329"/>
      <c r="J43" s="1329"/>
      <c r="K43" s="1329"/>
      <c r="L43" s="1329"/>
      <c r="M43" s="1329"/>
      <c r="N43" s="1345"/>
      <c r="O43" s="1330"/>
      <c r="P43" s="1331">
        <f>P40</f>
        <v>31912210.820681069</v>
      </c>
    </row>
    <row r="44" spans="2:20" ht="15.5">
      <c r="B44" s="1332" t="s">
        <v>701</v>
      </c>
      <c r="C44" s="1333"/>
      <c r="D44" s="1333"/>
      <c r="E44" s="1333"/>
      <c r="F44" s="1333"/>
      <c r="G44" s="1333"/>
      <c r="H44" s="1333"/>
      <c r="I44" s="1333"/>
      <c r="J44" s="1333"/>
      <c r="K44" s="1333"/>
      <c r="L44" s="1333"/>
      <c r="M44" s="1333"/>
      <c r="N44" s="1346"/>
      <c r="O44" s="1334"/>
      <c r="P44" s="1314">
        <f>+F13</f>
        <v>30385334.315647647</v>
      </c>
    </row>
    <row r="45" spans="2:20" ht="15.5">
      <c r="B45" s="1335" t="s">
        <v>702</v>
      </c>
      <c r="C45" s="1336"/>
      <c r="D45" s="1336"/>
      <c r="E45" s="1336"/>
      <c r="F45" s="1336"/>
      <c r="G45" s="1336"/>
      <c r="H45" s="1336"/>
      <c r="I45" s="1336"/>
      <c r="J45" s="1336"/>
      <c r="K45" s="1336"/>
      <c r="L45" s="1336"/>
      <c r="M45" s="1336"/>
      <c r="N45" s="1347"/>
      <c r="O45" s="1337"/>
      <c r="P45" s="1338">
        <f>P43-P44</f>
        <v>1526876.5050334223</v>
      </c>
    </row>
    <row r="46" spans="2:20">
      <c r="B46" s="279"/>
      <c r="C46" s="279"/>
      <c r="D46" s="279"/>
      <c r="E46" s="279"/>
      <c r="F46" s="279"/>
      <c r="G46" s="279"/>
      <c r="H46" s="279"/>
      <c r="I46" s="279"/>
      <c r="J46" s="279"/>
      <c r="K46" s="279"/>
      <c r="L46" s="279"/>
      <c r="M46" s="279"/>
      <c r="N46" s="279"/>
      <c r="O46" s="279"/>
      <c r="P46" s="279"/>
    </row>
    <row r="47" spans="2:20" ht="15.5">
      <c r="B47" s="2067" t="s">
        <v>902</v>
      </c>
      <c r="C47" s="2067"/>
      <c r="D47" s="2067"/>
      <c r="E47" s="2067"/>
      <c r="F47" s="2067"/>
      <c r="G47" s="2067"/>
      <c r="H47" s="2067"/>
      <c r="I47" s="2067"/>
      <c r="J47" s="2067"/>
      <c r="K47" s="2067"/>
      <c r="L47" s="2067"/>
      <c r="M47" s="2067"/>
      <c r="N47" s="2067"/>
      <c r="O47" s="1339"/>
      <c r="P47" s="1339"/>
      <c r="T47" s="1318"/>
    </row>
    <row r="48" spans="2:20" ht="17.25" customHeight="1">
      <c r="B48" s="2067"/>
      <c r="C48" s="2067"/>
      <c r="D48" s="2067"/>
      <c r="E48" s="2067"/>
      <c r="F48" s="2067"/>
      <c r="G48" s="2067"/>
      <c r="H48" s="2067"/>
      <c r="I48" s="2067"/>
      <c r="J48" s="2067"/>
      <c r="K48" s="2067"/>
      <c r="L48" s="2067"/>
      <c r="M48" s="2067"/>
      <c r="N48" s="2067"/>
      <c r="O48" s="279"/>
      <c r="P48" s="279"/>
    </row>
    <row r="50" spans="2:14">
      <c r="B50" s="2063" t="s">
        <v>904</v>
      </c>
      <c r="C50" s="2063"/>
      <c r="D50" s="2063"/>
      <c r="E50" s="2063"/>
      <c r="F50" s="2063"/>
      <c r="G50" s="2063"/>
      <c r="H50" s="2063"/>
      <c r="I50" s="2063"/>
      <c r="J50" s="2063"/>
      <c r="K50" s="2063"/>
      <c r="L50" s="2063"/>
      <c r="M50" s="2063"/>
      <c r="N50" s="2063"/>
    </row>
    <row r="51" spans="2:14" ht="21.75" customHeight="1">
      <c r="B51" s="2063"/>
      <c r="C51" s="2063"/>
      <c r="D51" s="2063"/>
      <c r="E51" s="2063"/>
      <c r="F51" s="2063"/>
      <c r="G51" s="2063"/>
      <c r="H51" s="2063"/>
      <c r="I51" s="2063"/>
      <c r="J51" s="2063"/>
      <c r="K51" s="2063"/>
      <c r="L51" s="2063"/>
      <c r="M51" s="2063"/>
      <c r="N51" s="2063"/>
    </row>
    <row r="53" spans="2:14" ht="15.5">
      <c r="B53" s="1305"/>
    </row>
    <row r="68" ht="15.75" customHeight="1"/>
    <row r="69" ht="12.75" customHeight="1"/>
    <row r="70" ht="15" customHeight="1"/>
  </sheetData>
  <mergeCells count="6">
    <mergeCell ref="B50:N51"/>
    <mergeCell ref="B7:P7"/>
    <mergeCell ref="B4:P4"/>
    <mergeCell ref="B5:P5"/>
    <mergeCell ref="B6:P6"/>
    <mergeCell ref="B47:N48"/>
  </mergeCells>
  <pageMargins left="0.7" right="0.7" top="0.75" bottom="0.75" header="0.3" footer="0.3"/>
  <pageSetup scale="49" fitToHeight="0" orientation="portrait" r:id="rId1"/>
  <headerFooter>
    <oddHeader>&amp;RAEP - SPP Transco Formula Rate
TCOS - WS O
Page: &amp;P of &amp;N</oddHeader>
  </headerFooter>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topLeftCell="A7" zoomScaleNormal="100" workbookViewId="0">
      <selection activeCell="D14" sqref="D14"/>
    </sheetView>
  </sheetViews>
  <sheetFormatPr defaultColWidth="9.1796875" defaultRowHeight="12.5"/>
  <cols>
    <col min="1" max="1" width="1.7265625" style="397" customWidth="1"/>
    <col min="2" max="2" width="25.1796875" style="397" customWidth="1"/>
    <col min="3" max="3" width="1.7265625" style="397" customWidth="1"/>
    <col min="4" max="4" width="22.54296875" style="397" customWidth="1"/>
    <col min="5" max="5" width="1.7265625" style="397" customWidth="1"/>
    <col min="6" max="6" width="24.81640625" style="397" customWidth="1"/>
    <col min="7" max="7" width="1.7265625" style="397" customWidth="1"/>
    <col min="8" max="8" width="21.453125" style="397" customWidth="1"/>
    <col min="9" max="9" width="1.7265625" style="397" customWidth="1"/>
    <col min="10" max="10" width="21" style="397" customWidth="1"/>
    <col min="11" max="11" width="1.7265625" style="397" customWidth="1"/>
    <col min="12" max="12" width="18.26953125" style="397" customWidth="1"/>
    <col min="13" max="13" width="1.7265625" style="397" customWidth="1"/>
    <col min="14" max="14" width="17" style="397" customWidth="1"/>
    <col min="15" max="15" width="1.7265625" style="397" customWidth="1"/>
    <col min="16" max="16" width="18.1796875" style="397" customWidth="1"/>
    <col min="17" max="17" width="7.7265625" style="397" bestFit="1" customWidth="1"/>
    <col min="18" max="18" width="3" style="397" hidden="1" customWidth="1"/>
    <col min="19" max="19" width="9.1796875" style="397"/>
    <col min="20" max="20" width="3" style="397" bestFit="1" customWidth="1"/>
    <col min="21" max="16384" width="9.1796875" style="397"/>
  </cols>
  <sheetData>
    <row r="1" spans="1:18" ht="15.5">
      <c r="A1" s="1272"/>
    </row>
    <row r="2" spans="1:18" ht="15.5">
      <c r="A2" s="1273"/>
    </row>
    <row r="3" spans="1:18" ht="15.5">
      <c r="A3" s="1273"/>
    </row>
    <row r="4" spans="1:18" ht="15.5">
      <c r="B4" s="2064" t="str">
        <f>+'OKT TCOS'!F4</f>
        <v xml:space="preserve">AEP West SPP Member Transmission Companies </v>
      </c>
      <c r="C4" s="2064"/>
      <c r="D4" s="2064"/>
      <c r="E4" s="2064"/>
      <c r="F4" s="2064"/>
      <c r="G4" s="2064"/>
      <c r="H4" s="2064"/>
      <c r="I4" s="2064"/>
      <c r="J4" s="2064"/>
      <c r="K4" s="2064"/>
      <c r="L4" s="2064"/>
      <c r="M4" s="2064"/>
      <c r="N4" s="2064"/>
      <c r="O4" s="2064"/>
      <c r="P4" s="2064"/>
    </row>
    <row r="5" spans="1:18" ht="15.5">
      <c r="B5" s="2065" t="str">
        <f>+'OKT WS A-1 - Plant'!A3</f>
        <v xml:space="preserve">Actual / Projected 2019 Rate Year Cost of Service Formula Rate </v>
      </c>
      <c r="C5" s="2065"/>
      <c r="D5" s="2065"/>
      <c r="E5" s="2065"/>
      <c r="F5" s="2065"/>
      <c r="G5" s="2065"/>
      <c r="H5" s="2065"/>
      <c r="I5" s="2065"/>
      <c r="J5" s="2065"/>
      <c r="K5" s="2065"/>
      <c r="L5" s="2065"/>
      <c r="M5" s="2065"/>
      <c r="N5" s="2065"/>
      <c r="O5" s="2065"/>
      <c r="P5" s="2065"/>
    </row>
    <row r="6" spans="1:18" ht="15.5">
      <c r="B6" s="2065" t="s">
        <v>906</v>
      </c>
      <c r="C6" s="2065"/>
      <c r="D6" s="2065"/>
      <c r="E6" s="2065"/>
      <c r="F6" s="2065"/>
      <c r="G6" s="2065"/>
      <c r="H6" s="2065"/>
      <c r="I6" s="2065"/>
      <c r="J6" s="2065"/>
      <c r="K6" s="2065"/>
      <c r="L6" s="2065"/>
      <c r="M6" s="2065"/>
      <c r="N6" s="2065"/>
      <c r="O6" s="2065"/>
      <c r="P6" s="2065"/>
    </row>
    <row r="7" spans="1:18" ht="15.5">
      <c r="B7" s="2025" t="str">
        <f>+'OKT TCOS'!F8</f>
        <v>AEP OKLAHOMA TRANSMISSION COMPANY, INC.</v>
      </c>
      <c r="C7" s="2025"/>
      <c r="D7" s="2025"/>
      <c r="E7" s="2025"/>
      <c r="F7" s="2025"/>
      <c r="G7" s="2025"/>
      <c r="H7" s="2025"/>
      <c r="I7" s="2025"/>
      <c r="J7" s="2025"/>
      <c r="K7" s="2025"/>
      <c r="L7" s="2025"/>
      <c r="M7" s="2025"/>
      <c r="N7" s="2025"/>
      <c r="O7" s="2025"/>
      <c r="P7" s="2025"/>
      <c r="Q7" s="1341"/>
      <c r="R7" s="1341"/>
    </row>
    <row r="8" spans="1:18">
      <c r="B8" s="279"/>
      <c r="C8" s="279"/>
      <c r="D8" s="279"/>
      <c r="E8" s="279"/>
      <c r="F8" s="279"/>
      <c r="G8" s="279"/>
      <c r="H8" s="279"/>
      <c r="I8" s="279"/>
      <c r="J8" s="279"/>
      <c r="K8" s="279"/>
      <c r="L8" s="279"/>
      <c r="M8" s="279"/>
      <c r="N8" s="279"/>
      <c r="O8" s="279"/>
      <c r="P8" s="279"/>
    </row>
    <row r="9" spans="1:18">
      <c r="B9" s="279"/>
      <c r="C9" s="279"/>
      <c r="D9" s="279"/>
      <c r="E9" s="279"/>
      <c r="F9" s="279"/>
      <c r="G9" s="279"/>
      <c r="H9" s="279"/>
      <c r="I9" s="279"/>
      <c r="J9" s="279"/>
      <c r="K9" s="279"/>
      <c r="L9" s="279"/>
      <c r="M9" s="279"/>
      <c r="N9" s="279"/>
      <c r="O9" s="279"/>
      <c r="P9" s="279"/>
    </row>
    <row r="10" spans="1:18" ht="16" thickBot="1">
      <c r="B10" s="1274"/>
      <c r="C10" s="1275"/>
      <c r="D10" s="1275"/>
      <c r="E10" s="1275"/>
      <c r="F10" s="1275"/>
      <c r="G10" s="1275"/>
      <c r="H10" s="1275"/>
      <c r="I10" s="1275"/>
      <c r="J10" s="1275"/>
      <c r="K10" s="1275"/>
      <c r="O10" s="1275"/>
      <c r="P10" s="1275"/>
    </row>
    <row r="11" spans="1:18" ht="51">
      <c r="B11" s="1276" t="str">
        <f>"True up Revenue Requirement For Year "&amp;J11&amp;" Available May, "&amp;J12</f>
        <v>True up Revenue Requirement For Year 2019 Available May, 2020</v>
      </c>
      <c r="C11" s="1275"/>
      <c r="D11" s="1276" t="s">
        <v>929</v>
      </c>
      <c r="E11" s="1277"/>
      <c r="F11" s="1278" t="s">
        <v>683</v>
      </c>
      <c r="G11" s="407"/>
      <c r="H11" s="1279" t="s">
        <v>684</v>
      </c>
      <c r="I11" s="1275"/>
      <c r="J11" s="1280">
        <f>+'OKT TCOS'!N2</f>
        <v>2019</v>
      </c>
      <c r="K11" s="1275"/>
      <c r="O11" s="407"/>
      <c r="P11" s="407"/>
    </row>
    <row r="12" spans="1:18" ht="15.5">
      <c r="B12" s="1281" t="s">
        <v>253</v>
      </c>
      <c r="C12" s="1275"/>
      <c r="D12" s="1281"/>
      <c r="E12" s="1277"/>
      <c r="F12" s="1282"/>
      <c r="G12" s="407"/>
      <c r="H12" s="1283" t="s">
        <v>685</v>
      </c>
      <c r="I12" s="1284"/>
      <c r="J12" s="1285">
        <f>J11+1</f>
        <v>2020</v>
      </c>
      <c r="O12" s="407"/>
      <c r="P12" s="407"/>
    </row>
    <row r="13" spans="1:18" ht="16" thickBot="1">
      <c r="B13" s="1286">
        <f>+'Sch 1 Rates'!J22</f>
        <v>653381.51</v>
      </c>
      <c r="C13" s="1287" t="s">
        <v>686</v>
      </c>
      <c r="D13" s="1286">
        <v>355615.22069399996</v>
      </c>
      <c r="E13" s="1288" t="s">
        <v>687</v>
      </c>
      <c r="F13" s="1289">
        <f>IF(B13=0,0,D13-B13)</f>
        <v>-297766.28930600005</v>
      </c>
      <c r="G13" s="1290"/>
      <c r="H13" s="1291" t="s">
        <v>688</v>
      </c>
      <c r="I13" s="1292"/>
      <c r="J13" s="1293">
        <f>J12+1</f>
        <v>2021</v>
      </c>
      <c r="O13" s="407"/>
      <c r="P13" s="407"/>
    </row>
    <row r="14" spans="1:18" ht="15.5">
      <c r="B14" s="1292"/>
      <c r="C14" s="1294"/>
      <c r="D14" s="1292"/>
      <c r="E14" s="1292"/>
      <c r="F14" s="1292"/>
      <c r="G14" s="1292"/>
      <c r="H14" s="407"/>
      <c r="I14" s="407"/>
      <c r="O14" s="407"/>
      <c r="P14" s="407"/>
    </row>
    <row r="15" spans="1:18" ht="16" thickBot="1">
      <c r="B15" s="1295"/>
      <c r="C15" s="1296"/>
      <c r="D15" s="1295"/>
      <c r="E15" s="1295"/>
      <c r="F15" s="1295"/>
      <c r="G15" s="1295"/>
      <c r="H15" s="1295"/>
      <c r="I15" s="1295"/>
      <c r="J15" s="1295"/>
      <c r="K15" s="1295"/>
      <c r="L15" s="1295"/>
      <c r="M15" s="1295"/>
      <c r="N15" s="1298"/>
      <c r="O15" s="1298"/>
      <c r="P15" s="1298"/>
    </row>
    <row r="16" spans="1:18" ht="15.5">
      <c r="B16" s="1299"/>
      <c r="C16" s="1294"/>
      <c r="D16" s="1292"/>
      <c r="E16" s="1292"/>
      <c r="F16" s="1292"/>
      <c r="G16" s="1292"/>
      <c r="H16" s="1292"/>
      <c r="I16" s="1292"/>
      <c r="J16" s="1292"/>
      <c r="K16" s="1292"/>
      <c r="L16" s="1292"/>
      <c r="M16" s="1292"/>
      <c r="N16" s="407"/>
      <c r="O16" s="407"/>
      <c r="P16" s="407"/>
    </row>
    <row r="17" spans="2:18" ht="62">
      <c r="B17" s="1300" t="s">
        <v>689</v>
      </c>
      <c r="C17" s="1294"/>
      <c r="D17" s="1301" t="s">
        <v>690</v>
      </c>
      <c r="E17" s="1301"/>
      <c r="F17" s="1301" t="s">
        <v>691</v>
      </c>
      <c r="G17" s="1301"/>
      <c r="H17" s="1301" t="s">
        <v>692</v>
      </c>
      <c r="I17" s="1292"/>
      <c r="J17" s="1302" t="s">
        <v>693</v>
      </c>
      <c r="K17" s="1292"/>
      <c r="L17" s="1301" t="s">
        <v>910</v>
      </c>
      <c r="M17" s="1303"/>
      <c r="N17" s="1302" t="s">
        <v>694</v>
      </c>
      <c r="O17" s="1304"/>
      <c r="P17" s="1301" t="s">
        <v>696</v>
      </c>
    </row>
    <row r="18" spans="2:18" ht="15.5">
      <c r="B18" s="1305"/>
      <c r="C18" s="1294"/>
      <c r="D18" s="407"/>
      <c r="E18" s="407"/>
      <c r="F18" s="407"/>
      <c r="G18" s="407"/>
      <c r="H18" s="407"/>
      <c r="I18" s="1306"/>
      <c r="J18" s="1306"/>
      <c r="K18" s="1306"/>
      <c r="N18" s="407"/>
      <c r="O18" s="407"/>
      <c r="P18" s="407"/>
    </row>
    <row r="19" spans="2:18" ht="15.5">
      <c r="B19" s="1342" t="s">
        <v>697</v>
      </c>
      <c r="C19" s="1294"/>
      <c r="D19" s="1294"/>
      <c r="E19" s="1294"/>
      <c r="F19" s="1294"/>
      <c r="G19" s="1294"/>
      <c r="H19" s="1294"/>
      <c r="I19" s="1294"/>
      <c r="J19" s="1294"/>
      <c r="K19" s="1294"/>
      <c r="L19" s="407"/>
      <c r="M19" s="407"/>
      <c r="N19" s="1303"/>
      <c r="O19" s="1294"/>
      <c r="P19" s="1294"/>
    </row>
    <row r="20" spans="2:18" ht="15.5">
      <c r="B20" s="1308" t="s">
        <v>125</v>
      </c>
      <c r="C20" s="1294"/>
      <c r="D20" s="1294"/>
      <c r="E20" s="1294"/>
      <c r="F20" s="1294"/>
      <c r="G20" s="1294"/>
      <c r="H20" s="1294"/>
      <c r="I20" s="1294"/>
      <c r="J20" s="1294"/>
      <c r="K20" s="1294"/>
      <c r="L20" s="407"/>
      <c r="M20" s="407"/>
      <c r="N20" s="1303"/>
      <c r="O20" s="1294"/>
      <c r="P20" s="1294"/>
    </row>
    <row r="21" spans="2:18" ht="15.5">
      <c r="B21" s="1309">
        <f t="shared" ref="B21:B32" si="0">DATE($J$11,R21,1)</f>
        <v>43466</v>
      </c>
      <c r="C21" s="1275"/>
      <c r="D21" s="1310">
        <f>F13/12</f>
        <v>-24813.857442166671</v>
      </c>
      <c r="E21" s="1311"/>
      <c r="F21" s="1310">
        <v>0</v>
      </c>
      <c r="G21" s="1310"/>
      <c r="H21" s="1310">
        <v>0</v>
      </c>
      <c r="I21" s="1310"/>
      <c r="J21" s="1310">
        <f>F21+H21</f>
        <v>0</v>
      </c>
      <c r="K21" s="1311"/>
      <c r="L21" s="1312">
        <f>+'OKT WS Q Interest Rate'!E13</f>
        <v>4.4000000000000003E-3</v>
      </c>
      <c r="M21" s="1313"/>
      <c r="N21" s="1310">
        <f t="shared" ref="N21:N32" si="1">J21*L21</f>
        <v>0</v>
      </c>
      <c r="O21" s="1310"/>
      <c r="P21" s="1310">
        <f>D21+N21</f>
        <v>-24813.857442166671</v>
      </c>
      <c r="R21" s="397">
        <v>1</v>
      </c>
    </row>
    <row r="22" spans="2:18" ht="15.5">
      <c r="B22" s="1309">
        <f t="shared" si="0"/>
        <v>43497</v>
      </c>
      <c r="C22" s="1275"/>
      <c r="D22" s="1310">
        <f>+D21</f>
        <v>-24813.857442166671</v>
      </c>
      <c r="E22" s="1311"/>
      <c r="F22" s="1310">
        <f>D21</f>
        <v>-24813.857442166671</v>
      </c>
      <c r="G22" s="1310"/>
      <c r="H22" s="1310">
        <v>0</v>
      </c>
      <c r="I22" s="1310"/>
      <c r="J22" s="1310">
        <f t="shared" ref="J22:J31" si="2">F22+H22</f>
        <v>-24813.857442166671</v>
      </c>
      <c r="K22" s="1311"/>
      <c r="L22" s="1312">
        <f>+'OKT WS Q Interest Rate'!E14</f>
        <v>4.0000000000000001E-3</v>
      </c>
      <c r="M22" s="1313"/>
      <c r="N22" s="1310">
        <f t="shared" si="1"/>
        <v>-99.255429768666687</v>
      </c>
      <c r="O22" s="1310"/>
      <c r="P22" s="1310">
        <f>SUM($D$21:D22)+SUM($N$21:N22)</f>
        <v>-49726.970314102007</v>
      </c>
      <c r="R22" s="397">
        <v>2</v>
      </c>
    </row>
    <row r="23" spans="2:18" ht="15.5">
      <c r="B23" s="1309">
        <f t="shared" si="0"/>
        <v>43525</v>
      </c>
      <c r="C23" s="1275"/>
      <c r="D23" s="1310">
        <f>+D22</f>
        <v>-24813.857442166671</v>
      </c>
      <c r="E23" s="1311"/>
      <c r="F23" s="1310">
        <f>D22+F22</f>
        <v>-49627.714884333342</v>
      </c>
      <c r="G23" s="1310"/>
      <c r="H23" s="1310">
        <v>0</v>
      </c>
      <c r="I23" s="1310"/>
      <c r="J23" s="1310">
        <f t="shared" si="2"/>
        <v>-49627.714884333342</v>
      </c>
      <c r="K23" s="1311"/>
      <c r="L23" s="1312">
        <f>+'OKT WS Q Interest Rate'!E15</f>
        <v>4.4000000000000003E-3</v>
      </c>
      <c r="M23" s="1313"/>
      <c r="N23" s="1310">
        <f t="shared" si="1"/>
        <v>-218.36194549106671</v>
      </c>
      <c r="O23" s="1310"/>
      <c r="P23" s="1310">
        <f>SUM($D$21:D23)+SUM($N$21:N23)</f>
        <v>-74759.189701759751</v>
      </c>
      <c r="R23" s="397">
        <v>3</v>
      </c>
    </row>
    <row r="24" spans="2:18" ht="15.5">
      <c r="B24" s="1309">
        <f t="shared" si="0"/>
        <v>43556</v>
      </c>
      <c r="C24" s="1275"/>
      <c r="D24" s="1310">
        <f>+D23</f>
        <v>-24813.857442166671</v>
      </c>
      <c r="E24" s="1311"/>
      <c r="F24" s="1310">
        <f t="shared" ref="F24:F30" si="3">D23+F23</f>
        <v>-74441.572326500012</v>
      </c>
      <c r="G24" s="1310"/>
      <c r="H24" s="1310">
        <f>SUM($N$21:$N$23)</f>
        <v>-317.61737525973342</v>
      </c>
      <c r="I24" s="1310"/>
      <c r="J24" s="1310">
        <f t="shared" si="2"/>
        <v>-74759.189701759751</v>
      </c>
      <c r="K24" s="1311"/>
      <c r="L24" s="1312">
        <f>+'OKT WS Q Interest Rate'!E16</f>
        <v>4.4999999999999997E-3</v>
      </c>
      <c r="M24" s="1313"/>
      <c r="N24" s="1310">
        <f t="shared" si="1"/>
        <v>-336.41635365791888</v>
      </c>
      <c r="O24" s="1310"/>
      <c r="P24" s="1310">
        <f>SUM($D$21:D24)+SUM($N$21:N24)</f>
        <v>-99909.463497584336</v>
      </c>
      <c r="R24" s="397">
        <v>4</v>
      </c>
    </row>
    <row r="25" spans="2:18" ht="15.5">
      <c r="B25" s="1309">
        <f t="shared" si="0"/>
        <v>43586</v>
      </c>
      <c r="C25" s="1275"/>
      <c r="D25" s="1310">
        <f t="shared" ref="D25:D30" si="4">+D24</f>
        <v>-24813.857442166671</v>
      </c>
      <c r="E25" s="1311"/>
      <c r="F25" s="1310">
        <f t="shared" si="3"/>
        <v>-99255.429768666683</v>
      </c>
      <c r="G25" s="1310"/>
      <c r="H25" s="1310">
        <f t="shared" ref="H25:H26" si="5">SUM($N$21:$N$23)</f>
        <v>-317.61737525973342</v>
      </c>
      <c r="I25" s="1310"/>
      <c r="J25" s="1310">
        <f t="shared" si="2"/>
        <v>-99573.047143926422</v>
      </c>
      <c r="K25" s="1311"/>
      <c r="L25" s="1312">
        <f>+'OKT WS Q Interest Rate'!E17</f>
        <v>4.5999999999999999E-3</v>
      </c>
      <c r="M25" s="1313"/>
      <c r="N25" s="1310">
        <f t="shared" si="1"/>
        <v>-458.03601686206156</v>
      </c>
      <c r="O25" s="1310"/>
      <c r="P25" s="1310">
        <f>SUM($D$21:D25)+SUM($N$21:N25)</f>
        <v>-125181.35695661306</v>
      </c>
      <c r="R25" s="397">
        <v>5</v>
      </c>
    </row>
    <row r="26" spans="2:18" ht="15.5">
      <c r="B26" s="1309">
        <f t="shared" si="0"/>
        <v>43617</v>
      </c>
      <c r="C26" s="1275"/>
      <c r="D26" s="1310">
        <f t="shared" si="4"/>
        <v>-24813.857442166671</v>
      </c>
      <c r="E26" s="1311"/>
      <c r="F26" s="1310">
        <f t="shared" si="3"/>
        <v>-124069.28721083335</v>
      </c>
      <c r="G26" s="1310"/>
      <c r="H26" s="1310">
        <f t="shared" si="5"/>
        <v>-317.61737525973342</v>
      </c>
      <c r="I26" s="1310"/>
      <c r="J26" s="1310">
        <f t="shared" si="2"/>
        <v>-124386.90458609309</v>
      </c>
      <c r="K26" s="1311"/>
      <c r="L26" s="1312">
        <f>+'OKT WS Q Interest Rate'!E18</f>
        <v>4.4999999999999997E-3</v>
      </c>
      <c r="M26" s="1313"/>
      <c r="N26" s="1310">
        <f t="shared" si="1"/>
        <v>-559.74107063741883</v>
      </c>
      <c r="O26" s="1310"/>
      <c r="P26" s="1310">
        <f>SUM($D$21:D26)+SUM($N$21:N26)</f>
        <v>-150554.95546941715</v>
      </c>
      <c r="R26" s="397">
        <v>6</v>
      </c>
    </row>
    <row r="27" spans="2:18" ht="15.5">
      <c r="B27" s="1309">
        <f t="shared" si="0"/>
        <v>43647</v>
      </c>
      <c r="C27" s="1275"/>
      <c r="D27" s="1310">
        <f t="shared" si="4"/>
        <v>-24813.857442166671</v>
      </c>
      <c r="E27" s="1311"/>
      <c r="F27" s="1310">
        <f t="shared" si="3"/>
        <v>-148883.14465300002</v>
      </c>
      <c r="G27" s="1310"/>
      <c r="H27" s="1310">
        <f>$H$26+SUM($N$24:$N$26)</f>
        <v>-1671.8108164171326</v>
      </c>
      <c r="I27" s="1310"/>
      <c r="J27" s="1310">
        <f t="shared" si="2"/>
        <v>-150554.95546941715</v>
      </c>
      <c r="K27" s="1311"/>
      <c r="L27" s="1312">
        <f>+'OKT WS Q Interest Rate'!E19</f>
        <v>4.7000000000000002E-3</v>
      </c>
      <c r="M27" s="1313"/>
      <c r="N27" s="1310">
        <f t="shared" si="1"/>
        <v>-707.60829070626062</v>
      </c>
      <c r="O27" s="1310"/>
      <c r="P27" s="1310">
        <f>SUM($D$21:D27)+SUM($N$21:N27)</f>
        <v>-176076.4212022901</v>
      </c>
      <c r="R27" s="397">
        <v>7</v>
      </c>
    </row>
    <row r="28" spans="2:18" ht="15.5">
      <c r="B28" s="1309">
        <f t="shared" si="0"/>
        <v>43678</v>
      </c>
      <c r="C28" s="1275"/>
      <c r="D28" s="1310">
        <f t="shared" si="4"/>
        <v>-24813.857442166671</v>
      </c>
      <c r="E28" s="1311"/>
      <c r="F28" s="1310">
        <f t="shared" si="3"/>
        <v>-173697.00209516671</v>
      </c>
      <c r="G28" s="1310"/>
      <c r="H28" s="1310">
        <f>$H$26+SUM($N$24:$N$26)</f>
        <v>-1671.8108164171326</v>
      </c>
      <c r="I28" s="1310"/>
      <c r="J28" s="1310">
        <f t="shared" si="2"/>
        <v>-175368.81291158384</v>
      </c>
      <c r="K28" s="1311"/>
      <c r="L28" s="1312">
        <f>+'OKT WS Q Interest Rate'!E20</f>
        <v>4.7000000000000002E-3</v>
      </c>
      <c r="M28" s="1313"/>
      <c r="N28" s="1310">
        <f t="shared" si="1"/>
        <v>-824.23342068444413</v>
      </c>
      <c r="O28" s="1310"/>
      <c r="P28" s="1310">
        <f>SUM($D$21:D28)+SUM($N$21:N28)</f>
        <v>-201714.5120651412</v>
      </c>
      <c r="R28" s="397">
        <v>8</v>
      </c>
    </row>
    <row r="29" spans="2:18" ht="15.5">
      <c r="B29" s="1309">
        <f t="shared" si="0"/>
        <v>43709</v>
      </c>
      <c r="C29" s="1275"/>
      <c r="D29" s="1310">
        <f t="shared" si="4"/>
        <v>-24813.857442166671</v>
      </c>
      <c r="E29" s="1311"/>
      <c r="F29" s="1310">
        <f t="shared" si="3"/>
        <v>-198510.85953733337</v>
      </c>
      <c r="G29" s="1310"/>
      <c r="H29" s="1310">
        <f>$H$26+SUM($N$24:$N$26)</f>
        <v>-1671.8108164171326</v>
      </c>
      <c r="I29" s="1310"/>
      <c r="J29" s="1310">
        <f t="shared" si="2"/>
        <v>-200182.67035375049</v>
      </c>
      <c r="K29" s="1311"/>
      <c r="L29" s="1312">
        <f>+'OKT WS Q Interest Rate'!E21</f>
        <v>4.4999999999999997E-3</v>
      </c>
      <c r="M29" s="1313"/>
      <c r="N29" s="1310">
        <f t="shared" si="1"/>
        <v>-900.82201659187717</v>
      </c>
      <c r="O29" s="1310"/>
      <c r="P29" s="1310">
        <f>SUM($D$21:D29)+SUM($N$21:N29)</f>
        <v>-227429.19152389973</v>
      </c>
      <c r="R29" s="397">
        <v>9</v>
      </c>
    </row>
    <row r="30" spans="2:18" ht="15.5">
      <c r="B30" s="1309">
        <f t="shared" si="0"/>
        <v>43739</v>
      </c>
      <c r="C30" s="1275"/>
      <c r="D30" s="1310">
        <f t="shared" si="4"/>
        <v>-24813.857442166671</v>
      </c>
      <c r="E30" s="1311"/>
      <c r="F30" s="1310">
        <f t="shared" si="3"/>
        <v>-223324.71697950002</v>
      </c>
      <c r="G30" s="1310"/>
      <c r="H30" s="1310">
        <f>$H$29+SUM($N$27:$N$29)</f>
        <v>-4104.4745443997144</v>
      </c>
      <c r="I30" s="1310"/>
      <c r="J30" s="1310">
        <f t="shared" si="2"/>
        <v>-227429.19152389973</v>
      </c>
      <c r="K30" s="1311"/>
      <c r="L30" s="1312">
        <f>+'OKT WS Q Interest Rate'!E22</f>
        <v>4.5999999999999999E-3</v>
      </c>
      <c r="M30" s="1313"/>
      <c r="N30" s="1310">
        <f t="shared" si="1"/>
        <v>-1046.1742810099388</v>
      </c>
      <c r="O30" s="1310"/>
      <c r="P30" s="1310">
        <f>SUM($D$21:D30)+SUM($N$21:N30)</f>
        <v>-253289.22324707633</v>
      </c>
      <c r="R30" s="397">
        <v>10</v>
      </c>
    </row>
    <row r="31" spans="2:18" ht="15.5">
      <c r="B31" s="1309">
        <f t="shared" si="0"/>
        <v>43770</v>
      </c>
      <c r="C31" s="1275"/>
      <c r="D31" s="1310">
        <f>+D30</f>
        <v>-24813.857442166671</v>
      </c>
      <c r="E31" s="1311"/>
      <c r="F31" s="1310">
        <f>D30+F30</f>
        <v>-248138.57442166668</v>
      </c>
      <c r="G31" s="1310"/>
      <c r="H31" s="1310">
        <f>$H$29+SUM($N$27:$N$29)</f>
        <v>-4104.4745443997144</v>
      </c>
      <c r="I31" s="1310"/>
      <c r="J31" s="1310">
        <f t="shared" si="2"/>
        <v>-252243.04896606639</v>
      </c>
      <c r="K31" s="1311"/>
      <c r="L31" s="1312">
        <f>+'OKT WS Q Interest Rate'!E23</f>
        <v>4.4999999999999997E-3</v>
      </c>
      <c r="M31" s="1313"/>
      <c r="N31" s="1310">
        <f t="shared" si="1"/>
        <v>-1135.0937203472986</v>
      </c>
      <c r="O31" s="1310"/>
      <c r="P31" s="1310">
        <f>SUM($D$21:D31)+SUM($N$21:N31)</f>
        <v>-279238.17440959031</v>
      </c>
      <c r="R31" s="397">
        <v>11</v>
      </c>
    </row>
    <row r="32" spans="2:18" ht="15.5">
      <c r="B32" s="1309">
        <f t="shared" si="0"/>
        <v>43800</v>
      </c>
      <c r="C32" s="1275"/>
      <c r="D32" s="1310">
        <f>+D31</f>
        <v>-24813.857442166671</v>
      </c>
      <c r="E32" s="1311"/>
      <c r="F32" s="1310">
        <f>D31+F31</f>
        <v>-272952.43186383334</v>
      </c>
      <c r="G32" s="1310"/>
      <c r="H32" s="1310">
        <f>$H$29+SUM($N$27:$N$29)</f>
        <v>-4104.4745443997144</v>
      </c>
      <c r="I32" s="1310"/>
      <c r="J32" s="1310">
        <f>F32+H32</f>
        <v>-277056.90640823304</v>
      </c>
      <c r="K32" s="1311"/>
      <c r="L32" s="1312">
        <f>+'OKT WS Q Interest Rate'!E24</f>
        <v>4.5999999999999999E-3</v>
      </c>
      <c r="M32" s="1313"/>
      <c r="N32" s="1310">
        <f t="shared" si="1"/>
        <v>-1274.4617694778719</v>
      </c>
      <c r="O32" s="1310"/>
      <c r="P32" s="1310">
        <f>SUM($D$21:D32)+SUM($N$21:N32)</f>
        <v>-305326.49362123484</v>
      </c>
      <c r="R32" s="397">
        <v>12</v>
      </c>
    </row>
    <row r="33" spans="2:20" ht="15.5">
      <c r="B33" s="1275"/>
      <c r="C33" s="1275"/>
      <c r="D33" s="1310"/>
      <c r="E33" s="1311"/>
      <c r="F33" s="1310"/>
      <c r="G33" s="1310"/>
      <c r="H33" s="1310"/>
      <c r="I33" s="1310"/>
      <c r="J33" s="1310"/>
      <c r="K33" s="1311"/>
      <c r="L33" s="1294"/>
      <c r="M33" s="1275"/>
      <c r="N33" s="1314"/>
      <c r="O33" s="1310"/>
      <c r="P33" s="1315"/>
    </row>
    <row r="34" spans="2:20" ht="15.5">
      <c r="B34" s="1308" t="s">
        <v>698</v>
      </c>
      <c r="C34" s="1275"/>
      <c r="D34" s="1310"/>
      <c r="E34" s="1311"/>
      <c r="F34" s="1310"/>
      <c r="G34" s="1310"/>
      <c r="H34" s="1310"/>
      <c r="I34" s="1310"/>
      <c r="J34" s="1310"/>
      <c r="K34" s="1311"/>
      <c r="L34" s="1294"/>
      <c r="M34" s="1275"/>
      <c r="N34" s="1310"/>
      <c r="O34" s="1310"/>
      <c r="P34" s="1316"/>
    </row>
    <row r="35" spans="2:20" ht="15.5">
      <c r="B35" s="1309">
        <f t="shared" ref="B35:B40" si="6">DATE($J$12,R35,1)</f>
        <v>43831</v>
      </c>
      <c r="C35" s="1275"/>
      <c r="D35" s="1310">
        <v>0</v>
      </c>
      <c r="E35" s="1311"/>
      <c r="F35" s="1310">
        <f>D32+F32</f>
        <v>-297766.28930599999</v>
      </c>
      <c r="G35" s="1310"/>
      <c r="H35" s="1310">
        <f>$H$32+SUM($N$30:$N$32)</f>
        <v>-7560.2043152348233</v>
      </c>
      <c r="I35" s="1310"/>
      <c r="J35" s="1310">
        <f>F35+H35</f>
        <v>-305326.49362123484</v>
      </c>
      <c r="K35" s="1311"/>
      <c r="L35" s="1312">
        <f>+'OKT WS Q Interest Rate'!E25</f>
        <v>4.1999999999999997E-3</v>
      </c>
      <c r="M35" s="1313"/>
      <c r="N35" s="1310">
        <f t="shared" ref="N35:N40" si="7">J35*L35</f>
        <v>-1282.3712732091863</v>
      </c>
      <c r="O35" s="1310"/>
      <c r="P35" s="1310">
        <f>SUM($D$21:D35)+SUM($N$21:N35)</f>
        <v>-306608.86489444401</v>
      </c>
      <c r="R35" s="397">
        <v>1</v>
      </c>
    </row>
    <row r="36" spans="2:20" ht="15.5">
      <c r="B36" s="1309">
        <f t="shared" si="6"/>
        <v>43862</v>
      </c>
      <c r="C36" s="1275"/>
      <c r="D36" s="1310">
        <v>0</v>
      </c>
      <c r="E36" s="1311"/>
      <c r="F36" s="1310">
        <f>D35+F35</f>
        <v>-297766.28930599999</v>
      </c>
      <c r="G36" s="1310"/>
      <c r="H36" s="1310">
        <f>$H$32+SUM($N$30:$N$32)</f>
        <v>-7560.2043152348233</v>
      </c>
      <c r="I36" s="1310"/>
      <c r="J36" s="1310">
        <f>F36+H36</f>
        <v>-305326.49362123484</v>
      </c>
      <c r="K36" s="1311"/>
      <c r="L36" s="1312">
        <f>+'OKT WS Q Interest Rate'!E26</f>
        <v>3.8999999999999998E-3</v>
      </c>
      <c r="M36" s="1313"/>
      <c r="N36" s="1310">
        <f t="shared" si="7"/>
        <v>-1190.7733251228158</v>
      </c>
      <c r="O36" s="1310"/>
      <c r="P36" s="1310">
        <f>SUM($D$21:D36)+SUM($N$21:N36)</f>
        <v>-307799.63821956684</v>
      </c>
      <c r="R36" s="397">
        <v>2</v>
      </c>
    </row>
    <row r="37" spans="2:20" ht="15.5">
      <c r="B37" s="1309">
        <f t="shared" si="6"/>
        <v>43891</v>
      </c>
      <c r="C37" s="1275"/>
      <c r="D37" s="1310">
        <v>0</v>
      </c>
      <c r="E37" s="1311"/>
      <c r="F37" s="1310">
        <f t="shared" ref="F37:F40" si="8">D36+F36</f>
        <v>-297766.28930599999</v>
      </c>
      <c r="G37" s="1310"/>
      <c r="H37" s="1310">
        <f>$H$32+SUM($N$30:$N$32)</f>
        <v>-7560.2043152348233</v>
      </c>
      <c r="I37" s="1310"/>
      <c r="J37" s="1310">
        <f t="shared" ref="J37:J40" si="9">F37+H37</f>
        <v>-305326.49362123484</v>
      </c>
      <c r="K37" s="1311"/>
      <c r="L37" s="1312">
        <f>+'OKT WS Q Interest Rate'!E27</f>
        <v>4.1999999999999997E-3</v>
      </c>
      <c r="M37" s="1313"/>
      <c r="N37" s="1310">
        <f t="shared" si="7"/>
        <v>-1282.3712732091863</v>
      </c>
      <c r="O37" s="1310"/>
      <c r="P37" s="1310">
        <f>SUM($D$21:D37)+SUM($N$21:N37)</f>
        <v>-309082.00949277601</v>
      </c>
      <c r="R37" s="397">
        <v>3</v>
      </c>
    </row>
    <row r="38" spans="2:20" ht="15.5">
      <c r="B38" s="1309">
        <f t="shared" si="6"/>
        <v>43922</v>
      </c>
      <c r="C38" s="1275"/>
      <c r="D38" s="1310">
        <v>0</v>
      </c>
      <c r="E38" s="1311"/>
      <c r="F38" s="1310">
        <f t="shared" si="8"/>
        <v>-297766.28930599999</v>
      </c>
      <c r="G38" s="1310"/>
      <c r="H38" s="1310">
        <f>$H$37+SUM($N$35:$N$37)</f>
        <v>-11315.720186776012</v>
      </c>
      <c r="I38" s="1310"/>
      <c r="J38" s="1310">
        <f>F38+H38</f>
        <v>-309082.00949277601</v>
      </c>
      <c r="K38" s="1311"/>
      <c r="L38" s="1312">
        <f>+'OKT WS Q Interest Rate'!E28</f>
        <v>3.8999999999999998E-3</v>
      </c>
      <c r="M38" s="1313"/>
      <c r="N38" s="1310">
        <f t="shared" si="7"/>
        <v>-1205.4198370218264</v>
      </c>
      <c r="O38" s="1310"/>
      <c r="P38" s="1310">
        <f>SUM($D$21:D38)+SUM($N$21:N38)</f>
        <v>-310287.42932979786</v>
      </c>
      <c r="R38" s="397">
        <v>4</v>
      </c>
    </row>
    <row r="39" spans="2:20" ht="15.5">
      <c r="B39" s="1309">
        <f t="shared" si="6"/>
        <v>43952</v>
      </c>
      <c r="C39" s="1275"/>
      <c r="D39" s="1310">
        <v>0</v>
      </c>
      <c r="E39" s="1311"/>
      <c r="F39" s="1310">
        <f t="shared" si="8"/>
        <v>-297766.28930599999</v>
      </c>
      <c r="G39" s="1310"/>
      <c r="H39" s="1310">
        <f>$H$37+SUM($N$35:$N$37)</f>
        <v>-11315.720186776012</v>
      </c>
      <c r="I39" s="1310"/>
      <c r="J39" s="1310">
        <f t="shared" si="9"/>
        <v>-309082.00949277601</v>
      </c>
      <c r="K39" s="1311"/>
      <c r="L39" s="1312">
        <f>+'OKT WS Q Interest Rate'!E29</f>
        <v>4.0000000000000001E-3</v>
      </c>
      <c r="M39" s="1313"/>
      <c r="N39" s="1310">
        <f t="shared" si="7"/>
        <v>-1236.3280379711041</v>
      </c>
      <c r="O39" s="1310"/>
      <c r="P39" s="1310">
        <f>SUM($D$21:D39)+SUM($N$21:N39)</f>
        <v>-311523.75736776891</v>
      </c>
      <c r="R39" s="397">
        <v>5</v>
      </c>
    </row>
    <row r="40" spans="2:20" ht="16" thickBot="1">
      <c r="B40" s="1324">
        <f t="shared" si="6"/>
        <v>43983</v>
      </c>
      <c r="C40" s="1325"/>
      <c r="D40" s="1326">
        <v>0</v>
      </c>
      <c r="E40" s="1343"/>
      <c r="F40" s="1326">
        <f t="shared" si="8"/>
        <v>-297766.28930599999</v>
      </c>
      <c r="G40" s="1326"/>
      <c r="H40" s="1326">
        <f>$H$37+SUM($N$35:$N$37)</f>
        <v>-11315.720186776012</v>
      </c>
      <c r="I40" s="1326"/>
      <c r="J40" s="1326">
        <f t="shared" si="9"/>
        <v>-309082.00949277601</v>
      </c>
      <c r="K40" s="1343"/>
      <c r="L40" s="1327">
        <f>+'OKT WS Q Interest Rate'!E30</f>
        <v>3.8999999999999998E-3</v>
      </c>
      <c r="M40" s="1344"/>
      <c r="N40" s="1326">
        <f t="shared" si="7"/>
        <v>-1205.4198370218264</v>
      </c>
      <c r="O40" s="1326"/>
      <c r="P40" s="1326">
        <f>SUM($D$21:D40)+SUM($N$21:N40)</f>
        <v>-312729.17720479076</v>
      </c>
      <c r="R40" s="397">
        <v>6</v>
      </c>
    </row>
    <row r="41" spans="2:20" ht="15.5">
      <c r="B41" s="1275"/>
      <c r="C41" s="1275"/>
      <c r="D41" s="1292"/>
      <c r="E41" s="1292"/>
      <c r="F41" s="1292"/>
      <c r="G41" s="1292"/>
      <c r="H41" s="1292"/>
      <c r="I41" s="1292"/>
      <c r="J41" s="1292"/>
      <c r="K41" s="1292"/>
      <c r="L41" s="1275"/>
      <c r="M41" s="1275"/>
      <c r="N41" s="1310"/>
      <c r="O41" s="1310"/>
      <c r="P41" s="1310"/>
    </row>
    <row r="42" spans="2:20" ht="15.5">
      <c r="B42" s="407"/>
      <c r="C42" s="407"/>
      <c r="D42" s="407"/>
      <c r="E42" s="407"/>
      <c r="F42" s="407"/>
      <c r="G42" s="407"/>
      <c r="H42" s="407"/>
      <c r="I42" s="407"/>
      <c r="J42" s="407"/>
      <c r="K42" s="407"/>
      <c r="L42" s="407"/>
      <c r="M42" s="407"/>
      <c r="N42" s="1316"/>
      <c r="O42" s="1316"/>
      <c r="P42" s="1316"/>
    </row>
    <row r="43" spans="2:20" ht="15.5">
      <c r="B43" s="1328" t="s">
        <v>700</v>
      </c>
      <c r="C43" s="1329"/>
      <c r="D43" s="1329"/>
      <c r="E43" s="1329"/>
      <c r="F43" s="1329"/>
      <c r="G43" s="1329"/>
      <c r="H43" s="1329"/>
      <c r="I43" s="1329"/>
      <c r="J43" s="1329"/>
      <c r="K43" s="1329"/>
      <c r="L43" s="1329"/>
      <c r="M43" s="1329"/>
      <c r="N43" s="1345"/>
      <c r="O43" s="1330"/>
      <c r="P43" s="1331">
        <f>P40</f>
        <v>-312729.17720479076</v>
      </c>
    </row>
    <row r="44" spans="2:20" ht="15.5">
      <c r="B44" s="1332" t="s">
        <v>701</v>
      </c>
      <c r="C44" s="1333"/>
      <c r="D44" s="1333"/>
      <c r="E44" s="1333"/>
      <c r="F44" s="1333"/>
      <c r="G44" s="1333"/>
      <c r="H44" s="1333"/>
      <c r="I44" s="1333"/>
      <c r="J44" s="1333"/>
      <c r="K44" s="1333"/>
      <c r="L44" s="1333"/>
      <c r="M44" s="1333"/>
      <c r="N44" s="1346"/>
      <c r="O44" s="1334"/>
      <c r="P44" s="1314">
        <f>+F13</f>
        <v>-297766.28930600005</v>
      </c>
    </row>
    <row r="45" spans="2:20" ht="15.5">
      <c r="B45" s="1335" t="s">
        <v>702</v>
      </c>
      <c r="C45" s="1336"/>
      <c r="D45" s="1336"/>
      <c r="E45" s="1336"/>
      <c r="F45" s="1336"/>
      <c r="G45" s="1336"/>
      <c r="H45" s="1336"/>
      <c r="I45" s="1336"/>
      <c r="J45" s="1336"/>
      <c r="K45" s="1336"/>
      <c r="L45" s="1336"/>
      <c r="M45" s="1336"/>
      <c r="N45" s="1347"/>
      <c r="O45" s="1337"/>
      <c r="P45" s="1338">
        <f>P43-P44</f>
        <v>-14962.887898790708</v>
      </c>
    </row>
    <row r="46" spans="2:20">
      <c r="B46" s="279"/>
      <c r="C46" s="279"/>
      <c r="D46" s="279"/>
      <c r="E46" s="279"/>
      <c r="F46" s="279"/>
      <c r="G46" s="279"/>
      <c r="H46" s="279"/>
      <c r="I46" s="279"/>
      <c r="J46" s="279"/>
      <c r="K46" s="279"/>
      <c r="L46" s="279"/>
      <c r="M46" s="279"/>
      <c r="N46" s="279"/>
      <c r="O46" s="279"/>
      <c r="P46" s="279"/>
    </row>
    <row r="47" spans="2:20" ht="15.5">
      <c r="B47" s="2067" t="s">
        <v>902</v>
      </c>
      <c r="C47" s="2067"/>
      <c r="D47" s="2067"/>
      <c r="E47" s="2067"/>
      <c r="F47" s="2067"/>
      <c r="G47" s="2067"/>
      <c r="H47" s="2067"/>
      <c r="I47" s="2067"/>
      <c r="J47" s="2067"/>
      <c r="K47" s="2067"/>
      <c r="L47" s="2067"/>
      <c r="M47" s="2067"/>
      <c r="N47" s="2067"/>
      <c r="O47" s="1339"/>
      <c r="P47" s="1339"/>
      <c r="T47" s="1318"/>
    </row>
    <row r="48" spans="2:20" ht="17.25" customHeight="1">
      <c r="B48" s="2067"/>
      <c r="C48" s="2067"/>
      <c r="D48" s="2067"/>
      <c r="E48" s="2067"/>
      <c r="F48" s="2067"/>
      <c r="G48" s="2067"/>
      <c r="H48" s="2067"/>
      <c r="I48" s="2067"/>
      <c r="J48" s="2067"/>
      <c r="K48" s="2067"/>
      <c r="L48" s="2067"/>
      <c r="M48" s="2067"/>
      <c r="N48" s="2067"/>
      <c r="O48" s="279"/>
      <c r="P48" s="279"/>
    </row>
    <row r="50" spans="2:14">
      <c r="B50" s="2063" t="s">
        <v>903</v>
      </c>
      <c r="C50" s="2063"/>
      <c r="D50" s="2063"/>
      <c r="E50" s="2063"/>
      <c r="F50" s="2063"/>
      <c r="G50" s="2063"/>
      <c r="H50" s="2063"/>
      <c r="I50" s="2063"/>
      <c r="J50" s="2063"/>
      <c r="K50" s="2063"/>
      <c r="L50" s="2063"/>
      <c r="M50" s="2063"/>
      <c r="N50" s="2063"/>
    </row>
    <row r="51" spans="2:14" ht="21.75" customHeight="1">
      <c r="B51" s="2063"/>
      <c r="C51" s="2063"/>
      <c r="D51" s="2063"/>
      <c r="E51" s="2063"/>
      <c r="F51" s="2063"/>
      <c r="G51" s="2063"/>
      <c r="H51" s="2063"/>
      <c r="I51" s="2063"/>
      <c r="J51" s="2063"/>
      <c r="K51" s="2063"/>
      <c r="L51" s="2063"/>
      <c r="M51" s="2063"/>
      <c r="N51" s="2063"/>
    </row>
    <row r="53" spans="2:14" ht="15.5">
      <c r="B53" s="1305"/>
    </row>
    <row r="68" ht="15.75" customHeight="1"/>
    <row r="69" ht="12.75" customHeight="1"/>
    <row r="70" ht="15" customHeight="1"/>
  </sheetData>
  <mergeCells count="6">
    <mergeCell ref="B50:N51"/>
    <mergeCell ref="B4:P4"/>
    <mergeCell ref="B5:P5"/>
    <mergeCell ref="B6:P6"/>
    <mergeCell ref="B7:P7"/>
    <mergeCell ref="B47:N48"/>
  </mergeCells>
  <pageMargins left="0.7" right="0.7" top="0.75" bottom="0.75" header="0.3" footer="0.3"/>
  <pageSetup scale="49" fitToHeight="0" orientation="portrait" r:id="rId1"/>
  <headerFooter>
    <oddHeader>&amp;RAEP - SPP Transco Formula Rate
TCOS - WS P
Page: &amp;P of &amp;N</oddHeader>
  </headerFooter>
  <colBreaks count="1" manualBreakCount="1">
    <brk id="1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zoomScaleNormal="100" workbookViewId="0">
      <selection activeCell="E12" sqref="E12"/>
    </sheetView>
  </sheetViews>
  <sheetFormatPr defaultColWidth="9.1796875" defaultRowHeight="13"/>
  <cols>
    <col min="1" max="1" width="11.26953125" style="1349" customWidth="1"/>
    <col min="2" max="2" width="11.7265625" style="1349" bestFit="1" customWidth="1"/>
    <col min="3" max="3" width="23.7265625" style="1349" customWidth="1"/>
    <col min="4" max="4" width="21" style="1349" customWidth="1"/>
    <col min="5" max="5" width="11.453125" style="1349"/>
    <col min="6" max="6" width="12" style="1349" bestFit="1" customWidth="1"/>
    <col min="7" max="7" width="18.26953125" style="1349" bestFit="1" customWidth="1"/>
    <col min="8" max="8" width="21.453125" style="397" customWidth="1"/>
    <col min="9" max="9" width="1.54296875" style="397" customWidth="1"/>
    <col min="10" max="10" width="21" style="397" customWidth="1"/>
    <col min="11" max="11" width="1.7265625" style="397" customWidth="1"/>
    <col min="12" max="12" width="18.26953125" style="397" customWidth="1"/>
    <col min="13" max="13" width="1.7265625" style="397" customWidth="1"/>
    <col min="14" max="14" width="17" style="397" customWidth="1"/>
    <col min="15" max="15" width="1.7265625" style="397" customWidth="1"/>
    <col min="16" max="16" width="18.1796875" style="397" customWidth="1"/>
    <col min="17" max="17" width="7.7265625" style="397" bestFit="1" customWidth="1"/>
    <col min="18" max="18" width="11.26953125" style="397" hidden="1" customWidth="1"/>
    <col min="19" max="19" width="9.1796875" style="397"/>
    <col min="20" max="20" width="11.26953125" style="397" customWidth="1"/>
    <col min="21" max="16384" width="9.1796875" style="397"/>
  </cols>
  <sheetData>
    <row r="1" spans="1:7" ht="15.5">
      <c r="A1" s="1348"/>
    </row>
    <row r="2" spans="1:7" ht="15.5">
      <c r="A2" s="1273"/>
    </row>
    <row r="3" spans="1:7" ht="15.5">
      <c r="A3" s="1273"/>
    </row>
    <row r="4" spans="1:7" ht="15.5">
      <c r="A4" s="1273"/>
    </row>
    <row r="5" spans="1:7" ht="15.5">
      <c r="A5" s="2069" t="str">
        <f>+'OKT TCOS'!F4</f>
        <v xml:space="preserve">AEP West SPP Member Transmission Companies </v>
      </c>
      <c r="B5" s="2069"/>
      <c r="C5" s="2069"/>
      <c r="D5" s="2069"/>
      <c r="E5" s="2069"/>
      <c r="F5" s="2069"/>
      <c r="G5" s="2069"/>
    </row>
    <row r="6" spans="1:7" ht="15.5">
      <c r="A6" s="2070" t="str">
        <f>+'OKT WS A-1 - Plant'!A3</f>
        <v xml:space="preserve">Actual / Projected 2019 Rate Year Cost of Service Formula Rate </v>
      </c>
      <c r="B6" s="2070"/>
      <c r="C6" s="2070"/>
      <c r="D6" s="2070"/>
      <c r="E6" s="2070"/>
      <c r="F6" s="2070"/>
      <c r="G6" s="2070"/>
    </row>
    <row r="7" spans="1:7" ht="15.5">
      <c r="A7" s="2070" t="s">
        <v>905</v>
      </c>
      <c r="B7" s="2070"/>
      <c r="C7" s="2070"/>
      <c r="D7" s="2070"/>
      <c r="E7" s="2070"/>
      <c r="F7" s="2070"/>
      <c r="G7" s="2070"/>
    </row>
    <row r="8" spans="1:7" ht="15.75" customHeight="1">
      <c r="A8" s="2071" t="str">
        <f>+'OKT TCOS'!F8</f>
        <v>AEP OKLAHOMA TRANSMISSION COMPANY, INC.</v>
      </c>
      <c r="B8" s="2071"/>
      <c r="C8" s="2071"/>
      <c r="D8" s="2071"/>
      <c r="E8" s="2071"/>
      <c r="F8" s="2071"/>
      <c r="G8" s="2071"/>
    </row>
    <row r="10" spans="1:7" ht="13.5" customHeight="1">
      <c r="A10" s="2072" t="s">
        <v>911</v>
      </c>
      <c r="B10" s="2072"/>
      <c r="C10" s="2072"/>
      <c r="D10" s="2072"/>
      <c r="E10" s="2072"/>
      <c r="F10" s="2072"/>
      <c r="G10" s="2072"/>
    </row>
    <row r="11" spans="1:7">
      <c r="G11" s="1350"/>
    </row>
    <row r="12" spans="1:7">
      <c r="A12" s="1351"/>
      <c r="B12" s="1352" t="s">
        <v>704</v>
      </c>
    </row>
    <row r="13" spans="1:7">
      <c r="A13" s="1353">
        <v>1</v>
      </c>
      <c r="C13" s="1354">
        <f>+'OKT WS N Sch 11 TU'!B19</f>
        <v>43466</v>
      </c>
      <c r="E13" s="1964">
        <v>4.4000000000000003E-3</v>
      </c>
      <c r="F13" s="1355"/>
      <c r="G13" s="1355"/>
    </row>
    <row r="14" spans="1:7">
      <c r="A14" s="1353">
        <v>2</v>
      </c>
      <c r="C14" s="1354">
        <f>+'OKT WS N Sch 11 TU'!B20</f>
        <v>43497</v>
      </c>
      <c r="E14" s="1964">
        <v>4.0000000000000001E-3</v>
      </c>
      <c r="F14" s="1355"/>
      <c r="G14" s="1355"/>
    </row>
    <row r="15" spans="1:7">
      <c r="A15" s="1353">
        <v>3</v>
      </c>
      <c r="C15" s="1354">
        <f>+'OKT WS N Sch 11 TU'!B21</f>
        <v>43525</v>
      </c>
      <c r="E15" s="1964">
        <v>4.4000000000000003E-3</v>
      </c>
      <c r="F15" s="1355"/>
      <c r="G15" s="1355"/>
    </row>
    <row r="16" spans="1:7">
      <c r="A16" s="1353">
        <v>4</v>
      </c>
      <c r="C16" s="1354">
        <f>+'OKT WS N Sch 11 TU'!B22</f>
        <v>43556</v>
      </c>
      <c r="E16" s="1964">
        <v>4.4999999999999997E-3</v>
      </c>
      <c r="F16" s="1355"/>
      <c r="G16" s="1355"/>
    </row>
    <row r="17" spans="1:7">
      <c r="A17" s="1353">
        <v>5</v>
      </c>
      <c r="C17" s="1354">
        <f>+'OKT WS N Sch 11 TU'!B23</f>
        <v>43586</v>
      </c>
      <c r="E17" s="1964">
        <v>4.5999999999999999E-3</v>
      </c>
      <c r="F17" s="1356"/>
      <c r="G17" s="1355"/>
    </row>
    <row r="18" spans="1:7">
      <c r="A18" s="1353">
        <v>6</v>
      </c>
      <c r="C18" s="1354">
        <f>+'OKT WS N Sch 11 TU'!B24</f>
        <v>43617</v>
      </c>
      <c r="E18" s="1964">
        <v>4.4999999999999997E-3</v>
      </c>
      <c r="F18" s="1355"/>
      <c r="G18" s="1355"/>
    </row>
    <row r="19" spans="1:7">
      <c r="A19" s="1353">
        <v>7</v>
      </c>
      <c r="C19" s="1354">
        <f>+'OKT WS N Sch 11 TU'!B25</f>
        <v>43647</v>
      </c>
      <c r="E19" s="1964">
        <v>4.7000000000000002E-3</v>
      </c>
      <c r="F19" s="1355"/>
      <c r="G19" s="1355"/>
    </row>
    <row r="20" spans="1:7">
      <c r="A20" s="1353">
        <v>8</v>
      </c>
      <c r="C20" s="1354">
        <f>+'OKT WS N Sch 11 TU'!B26</f>
        <v>43678</v>
      </c>
      <c r="E20" s="1964">
        <v>4.7000000000000002E-3</v>
      </c>
      <c r="F20" s="1355"/>
      <c r="G20" s="1355"/>
    </row>
    <row r="21" spans="1:7">
      <c r="A21" s="1353">
        <v>9</v>
      </c>
      <c r="C21" s="1354">
        <f>+'OKT WS N Sch 11 TU'!B27</f>
        <v>43709</v>
      </c>
      <c r="E21" s="1964">
        <v>4.4999999999999997E-3</v>
      </c>
      <c r="F21" s="1355"/>
      <c r="G21" s="1355"/>
    </row>
    <row r="22" spans="1:7">
      <c r="A22" s="1353">
        <v>10</v>
      </c>
      <c r="C22" s="1354">
        <f>+'OKT WS N Sch 11 TU'!B28</f>
        <v>43739</v>
      </c>
      <c r="E22" s="1964">
        <v>4.5999999999999999E-3</v>
      </c>
      <c r="F22" s="1355"/>
      <c r="G22" s="1355"/>
    </row>
    <row r="23" spans="1:7">
      <c r="A23" s="1353">
        <v>11</v>
      </c>
      <c r="C23" s="1354">
        <f>+'OKT WS N Sch 11 TU'!B29</f>
        <v>43770</v>
      </c>
      <c r="E23" s="1964">
        <v>4.4999999999999997E-3</v>
      </c>
      <c r="F23" s="1356"/>
      <c r="G23" s="1355"/>
    </row>
    <row r="24" spans="1:7">
      <c r="A24" s="1353">
        <v>12</v>
      </c>
      <c r="C24" s="1354">
        <f>+'OKT WS N Sch 11 TU'!B30</f>
        <v>43800</v>
      </c>
      <c r="E24" s="1964">
        <v>4.5999999999999999E-3</v>
      </c>
      <c r="F24" s="1355"/>
      <c r="G24" s="1355"/>
    </row>
    <row r="25" spans="1:7">
      <c r="A25" s="1353">
        <f>+A24+1</f>
        <v>13</v>
      </c>
      <c r="C25" s="1354">
        <f>+'OKT WS N Sch 11 TU'!B33</f>
        <v>43831</v>
      </c>
      <c r="E25" s="1964">
        <v>4.1999999999999997E-3</v>
      </c>
      <c r="F25" s="1355"/>
      <c r="G25" s="1355"/>
    </row>
    <row r="26" spans="1:7">
      <c r="A26" s="1353">
        <f t="shared" ref="A26:A36" si="0">+A25+1</f>
        <v>14</v>
      </c>
      <c r="C26" s="1354">
        <f>+'OKT WS N Sch 11 TU'!B34</f>
        <v>43862</v>
      </c>
      <c r="E26" s="1964">
        <v>3.8999999999999998E-3</v>
      </c>
      <c r="F26" s="1355"/>
      <c r="G26" s="1355"/>
    </row>
    <row r="27" spans="1:7">
      <c r="A27" s="1353">
        <f t="shared" si="0"/>
        <v>15</v>
      </c>
      <c r="C27" s="1354">
        <f>+'OKT WS N Sch 11 TU'!B35</f>
        <v>43891</v>
      </c>
      <c r="E27" s="1964">
        <v>4.1999999999999997E-3</v>
      </c>
      <c r="F27" s="1355"/>
      <c r="G27" s="1355"/>
    </row>
    <row r="28" spans="1:7">
      <c r="A28" s="1353">
        <f t="shared" si="0"/>
        <v>16</v>
      </c>
      <c r="C28" s="1354">
        <f>+'OKT WS N Sch 11 TU'!B36</f>
        <v>43922</v>
      </c>
      <c r="E28" s="1964">
        <v>3.8999999999999998E-3</v>
      </c>
      <c r="F28" s="1355"/>
      <c r="G28" s="1355"/>
    </row>
    <row r="29" spans="1:7">
      <c r="A29" s="1353">
        <f t="shared" si="0"/>
        <v>17</v>
      </c>
      <c r="C29" s="1354">
        <f>+'OKT WS N Sch 11 TU'!B37</f>
        <v>43952</v>
      </c>
      <c r="E29" s="1964">
        <v>4.0000000000000001E-3</v>
      </c>
      <c r="F29" s="1355"/>
      <c r="G29" s="1355"/>
    </row>
    <row r="30" spans="1:7">
      <c r="A30" s="1353">
        <f t="shared" si="0"/>
        <v>18</v>
      </c>
      <c r="C30" s="1354">
        <f>+'OKT WS N Sch 11 TU'!B38</f>
        <v>43983</v>
      </c>
      <c r="E30" s="1964">
        <v>3.8999999999999998E-3</v>
      </c>
      <c r="F30" s="1355"/>
      <c r="G30" s="1355"/>
    </row>
    <row r="31" spans="1:7">
      <c r="A31" s="1353">
        <f t="shared" si="0"/>
        <v>19</v>
      </c>
      <c r="C31" s="1354">
        <f>+'OKT WS N Sch 11 TU'!B39</f>
        <v>44013</v>
      </c>
      <c r="E31" s="1964">
        <v>3.8999999999999998E-3</v>
      </c>
      <c r="F31" s="1355"/>
      <c r="G31" s="1355"/>
    </row>
    <row r="32" spans="1:7">
      <c r="A32" s="1353">
        <f t="shared" si="0"/>
        <v>20</v>
      </c>
      <c r="C32" s="1354">
        <f>+'OKT WS N Sch 11 TU'!B40</f>
        <v>44044</v>
      </c>
      <c r="E32" s="1964">
        <v>3.8999999999999998E-3</v>
      </c>
      <c r="F32" s="1355"/>
      <c r="G32" s="1355"/>
    </row>
    <row r="33" spans="1:7">
      <c r="A33" s="1353">
        <f t="shared" si="0"/>
        <v>21</v>
      </c>
      <c r="C33" s="1354">
        <f>+'OKT WS N Sch 11 TU'!B41</f>
        <v>44075</v>
      </c>
      <c r="E33" s="1964">
        <v>3.8999999999999998E-3</v>
      </c>
      <c r="F33" s="1355"/>
      <c r="G33" s="1355"/>
    </row>
    <row r="34" spans="1:7">
      <c r="A34" s="1353">
        <f t="shared" si="0"/>
        <v>22</v>
      </c>
      <c r="C34" s="1354">
        <f>+'OKT WS N Sch 11 TU'!B42</f>
        <v>44105</v>
      </c>
      <c r="E34" s="1964">
        <v>3.8999999999999998E-3</v>
      </c>
      <c r="F34" s="1355"/>
      <c r="G34" s="1355"/>
    </row>
    <row r="35" spans="1:7">
      <c r="A35" s="1353">
        <f t="shared" si="0"/>
        <v>23</v>
      </c>
      <c r="C35" s="1354">
        <f>+'OKT WS N Sch 11 TU'!B43</f>
        <v>44136</v>
      </c>
      <c r="E35" s="1964">
        <v>3.8999999999999998E-3</v>
      </c>
      <c r="F35" s="1355"/>
      <c r="G35" s="1355"/>
    </row>
    <row r="36" spans="1:7">
      <c r="A36" s="1353">
        <f t="shared" si="0"/>
        <v>24</v>
      </c>
      <c r="C36" s="1354">
        <f>+'OKT WS N Sch 11 TU'!B44</f>
        <v>44166</v>
      </c>
      <c r="E36" s="1964">
        <v>3.8999999999999998E-3</v>
      </c>
      <c r="F36" s="1355"/>
      <c r="G36" s="1355"/>
    </row>
    <row r="37" spans="1:7">
      <c r="A37" s="1353"/>
      <c r="C37" s="1357"/>
      <c r="D37" s="1358"/>
      <c r="E37" s="1358"/>
      <c r="F37" s="1355"/>
      <c r="G37" s="1355"/>
    </row>
    <row r="38" spans="1:7">
      <c r="A38" s="1353"/>
      <c r="B38" s="1359" t="s">
        <v>705</v>
      </c>
      <c r="C38" s="1357"/>
      <c r="D38" s="1358"/>
      <c r="E38" s="1358"/>
    </row>
    <row r="39" spans="1:7">
      <c r="A39" s="1353">
        <f>A36+1</f>
        <v>25</v>
      </c>
      <c r="B39" s="1360" t="str">
        <f>"Average Monthly Rate - Lines "&amp;A25&amp;"- "&amp;A36</f>
        <v>Average Monthly Rate - Lines 13- 24</v>
      </c>
      <c r="C39" s="1361"/>
      <c r="D39" s="1358"/>
      <c r="E39" s="1362">
        <f>+AVERAGE(E25:E36)</f>
        <v>3.9583333333333337E-3</v>
      </c>
    </row>
    <row r="40" spans="1:7">
      <c r="E40" s="1363"/>
    </row>
    <row r="41" spans="1:7" ht="30.75" customHeight="1">
      <c r="A41" s="2068" t="s">
        <v>912</v>
      </c>
      <c r="B41" s="2068"/>
      <c r="C41" s="2068"/>
      <c r="D41" s="2068"/>
      <c r="E41" s="2068"/>
      <c r="F41" s="2068"/>
      <c r="G41" s="2068"/>
    </row>
    <row r="43" spans="1:7" ht="15.5">
      <c r="A43" s="1339"/>
    </row>
    <row r="46" spans="1:7" ht="15.75" customHeight="1">
      <c r="C46" s="1339"/>
      <c r="D46" s="1339"/>
      <c r="E46" s="1339"/>
      <c r="F46" s="1339"/>
      <c r="G46" s="1339"/>
    </row>
    <row r="47" spans="1:7" ht="12.75" customHeight="1">
      <c r="C47" s="1339"/>
      <c r="D47" s="1339"/>
      <c r="E47" s="1339"/>
      <c r="F47" s="1339"/>
      <c r="G47" s="1339"/>
    </row>
    <row r="49" spans="2:7" ht="12.75" customHeight="1">
      <c r="C49" s="1364"/>
      <c r="D49" s="1364"/>
      <c r="E49" s="1364"/>
      <c r="F49" s="1364"/>
      <c r="G49" s="1364"/>
    </row>
    <row r="50" spans="2:7" ht="12.75" customHeight="1">
      <c r="B50" s="1364"/>
      <c r="C50" s="1364"/>
      <c r="D50" s="1364"/>
      <c r="E50" s="1364"/>
      <c r="F50" s="1364"/>
      <c r="G50" s="1364"/>
    </row>
    <row r="67" ht="15.75" customHeight="1"/>
    <row r="68" ht="12.75" customHeight="1"/>
    <row r="69" ht="15" customHeight="1"/>
  </sheetData>
  <mergeCells count="6">
    <mergeCell ref="A41:G41"/>
    <mergeCell ref="A5:G5"/>
    <mergeCell ref="A6:G6"/>
    <mergeCell ref="A7:G7"/>
    <mergeCell ref="A8:G8"/>
    <mergeCell ref="A10:G10"/>
  </mergeCells>
  <pageMargins left="0.7" right="0.7" top="0.75" bottom="0.75" header="0.3" footer="0.3"/>
  <pageSetup scale="83" fitToHeight="0" orientation="portrait" r:id="rId1"/>
  <headerFooter>
    <oddHeader>&amp;RAEP - SPP Transco Formula Rate
TCOS - WS Q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81" zoomScaleNormal="81" zoomScaleSheetLayoutView="80" zoomScalePageLayoutView="90" workbookViewId="0">
      <selection activeCell="D20" sqref="D20"/>
    </sheetView>
  </sheetViews>
  <sheetFormatPr defaultColWidth="11.453125" defaultRowHeight="12.5"/>
  <cols>
    <col min="1" max="1" width="9" style="1368" customWidth="1"/>
    <col min="2" max="2" width="4.26953125" style="730" customWidth="1"/>
    <col min="3" max="3" width="51.453125" style="730" customWidth="1"/>
    <col min="4" max="4" width="21" style="730" customWidth="1"/>
    <col min="5" max="5" width="16.54296875" style="730" customWidth="1"/>
    <col min="6" max="6" width="18.54296875" style="730" customWidth="1"/>
    <col min="7" max="7" width="20" style="730" bestFit="1" customWidth="1"/>
    <col min="8" max="8" width="18.26953125" style="730" customWidth="1"/>
    <col min="9" max="9" width="17" style="730" customWidth="1"/>
    <col min="10" max="10" width="16" style="730" customWidth="1"/>
    <col min="11" max="11" width="16.7265625" style="730" customWidth="1"/>
    <col min="12" max="12" width="13.7265625" style="730" customWidth="1"/>
    <col min="13" max="13" width="11.54296875" style="730" customWidth="1"/>
    <col min="14" max="15" width="13.453125" style="730" customWidth="1"/>
    <col min="16" max="16" width="13.7265625" style="730" customWidth="1"/>
    <col min="17" max="16384" width="11.453125" style="730"/>
  </cols>
  <sheetData>
    <row r="1" spans="1:15" ht="15.5">
      <c r="A1" s="422"/>
    </row>
    <row r="2" spans="1:15" ht="15.5">
      <c r="A2" s="1990" t="str">
        <f>'OKT TCOS'!F4</f>
        <v xml:space="preserve">AEP West SPP Member Transmission Companies </v>
      </c>
      <c r="B2" s="1990"/>
      <c r="C2" s="1990"/>
      <c r="D2" s="1990"/>
      <c r="E2" s="1990"/>
      <c r="F2" s="1990"/>
      <c r="G2" s="1990"/>
      <c r="H2" s="1990"/>
      <c r="I2" s="670"/>
      <c r="J2" s="279"/>
      <c r="K2" s="279"/>
    </row>
    <row r="3" spans="1:15" ht="15.5">
      <c r="A3" s="1990" t="str">
        <f>"Actual / Projected "&amp;'OKT TCOS'!$N$2&amp;" Rate Year Cost of Service Formula Rate "</f>
        <v xml:space="preserve">Actual / Projected 2019 Rate Year Cost of Service Formula Rate </v>
      </c>
      <c r="B3" s="1990"/>
      <c r="C3" s="1990"/>
      <c r="D3" s="1990"/>
      <c r="E3" s="1990"/>
      <c r="F3" s="1990"/>
      <c r="G3" s="1990"/>
      <c r="H3" s="1990"/>
      <c r="I3" s="1365"/>
    </row>
    <row r="4" spans="1:15" ht="15.5">
      <c r="A4" s="1991" t="s">
        <v>909</v>
      </c>
      <c r="B4" s="1990"/>
      <c r="C4" s="1990"/>
      <c r="D4" s="1990"/>
      <c r="E4" s="1990"/>
      <c r="F4" s="1990"/>
      <c r="G4" s="1990"/>
      <c r="H4" s="1990"/>
      <c r="I4" s="672"/>
    </row>
    <row r="5" spans="1:15" ht="15.5">
      <c r="A5" s="1992" t="str">
        <f>+'OKT TCOS'!$F$8</f>
        <v>AEP OKLAHOMA TRANSMISSION COMPANY, INC.</v>
      </c>
      <c r="B5" s="1991"/>
      <c r="C5" s="1991"/>
      <c r="D5" s="1991"/>
      <c r="E5" s="1991"/>
      <c r="F5" s="1991"/>
      <c r="G5" s="1991"/>
      <c r="H5" s="1991"/>
      <c r="I5" s="1366"/>
    </row>
    <row r="6" spans="1:15" ht="15.5">
      <c r="A6" s="1366"/>
      <c r="B6" s="1366"/>
      <c r="C6" s="1366"/>
      <c r="F6" s="1367"/>
      <c r="G6" s="1367"/>
      <c r="H6" s="1367"/>
      <c r="I6" s="1367"/>
      <c r="J6" s="1367"/>
    </row>
    <row r="7" spans="1:15" ht="13">
      <c r="C7" s="1369" t="s">
        <v>300</v>
      </c>
      <c r="D7" s="1369" t="s">
        <v>301</v>
      </c>
      <c r="E7" s="1369" t="s">
        <v>302</v>
      </c>
      <c r="F7" s="1369" t="s">
        <v>303</v>
      </c>
      <c r="G7" s="1369" t="s">
        <v>228</v>
      </c>
      <c r="H7" s="1369" t="s">
        <v>229</v>
      </c>
      <c r="I7" s="1369"/>
      <c r="J7" s="1369"/>
    </row>
    <row r="8" spans="1:15" ht="13">
      <c r="A8" s="514" t="s">
        <v>307</v>
      </c>
      <c r="C8" s="1369"/>
      <c r="D8" s="1369"/>
      <c r="E8" s="1370" t="s">
        <v>779</v>
      </c>
      <c r="F8" s="685" t="s">
        <v>15</v>
      </c>
      <c r="G8" s="685" t="s">
        <v>60</v>
      </c>
      <c r="H8" s="2074" t="str">
        <f>"Average Balance for "&amp;'OKT TCOS'!$N$2&amp;""</f>
        <v>Average Balance for 2019</v>
      </c>
      <c r="I8" s="1369"/>
      <c r="J8" s="1369"/>
    </row>
    <row r="9" spans="1:15" ht="13">
      <c r="A9" s="514" t="s">
        <v>245</v>
      </c>
      <c r="C9" s="685" t="s">
        <v>305</v>
      </c>
      <c r="D9" s="1371" t="s">
        <v>389</v>
      </c>
      <c r="E9" s="1371" t="s">
        <v>778</v>
      </c>
      <c r="F9" s="1372" t="str">
        <f>"12/31/"&amp;'OKT TCOS'!$N$2&amp;""</f>
        <v>12/31/2019</v>
      </c>
      <c r="G9" s="1372" t="str">
        <f>"12/31/"&amp;'OKT TCOS'!$N$2-1&amp;""</f>
        <v>12/31/2018</v>
      </c>
      <c r="H9" s="2075"/>
      <c r="I9" s="685"/>
      <c r="J9" s="685"/>
      <c r="L9" s="279"/>
      <c r="M9" s="279"/>
      <c r="N9" s="279"/>
      <c r="O9" s="279"/>
    </row>
    <row r="10" spans="1:15">
      <c r="A10" s="272"/>
      <c r="B10" s="272"/>
      <c r="C10" s="272"/>
      <c r="D10" s="272"/>
      <c r="E10" s="272"/>
      <c r="G10" s="1373"/>
      <c r="H10" s="1374"/>
      <c r="I10" s="1374"/>
      <c r="J10" s="272"/>
      <c r="K10" s="1374"/>
      <c r="L10" s="279"/>
      <c r="M10" s="279"/>
      <c r="N10" s="279"/>
      <c r="O10" s="279"/>
    </row>
    <row r="11" spans="1:15">
      <c r="A11" s="1368">
        <v>1</v>
      </c>
      <c r="C11" s="1375"/>
      <c r="D11" s="1376"/>
      <c r="E11" s="1376"/>
      <c r="F11" s="1375"/>
      <c r="G11" s="1375"/>
      <c r="H11" s="1377">
        <f t="shared" ref="H11:H15" si="0">IF(G11="",0,(F11+G11)/2)</f>
        <v>0</v>
      </c>
      <c r="J11" s="1378"/>
      <c r="L11" s="1378"/>
      <c r="M11" s="1378"/>
      <c r="N11" s="1378"/>
      <c r="O11" s="1378"/>
    </row>
    <row r="12" spans="1:15">
      <c r="A12" s="1368">
        <f>+A11+1</f>
        <v>2</v>
      </c>
      <c r="C12" s="1375"/>
      <c r="D12" s="1375"/>
      <c r="E12" s="1375"/>
      <c r="F12" s="1375"/>
      <c r="G12" s="1375"/>
      <c r="H12" s="1377">
        <f t="shared" si="0"/>
        <v>0</v>
      </c>
      <c r="J12" s="1378"/>
      <c r="L12" s="1378"/>
      <c r="M12" s="1378"/>
      <c r="N12" s="1378"/>
      <c r="O12" s="1378"/>
    </row>
    <row r="13" spans="1:15">
      <c r="A13" s="1368">
        <f>+A12+1</f>
        <v>3</v>
      </c>
      <c r="C13" s="1375"/>
      <c r="D13" s="1375"/>
      <c r="E13" s="1375"/>
      <c r="F13" s="1375"/>
      <c r="G13" s="1375"/>
      <c r="H13" s="1377">
        <f t="shared" si="0"/>
        <v>0</v>
      </c>
      <c r="J13" s="1378"/>
      <c r="L13" s="1378"/>
      <c r="M13" s="1378"/>
      <c r="N13" s="1378"/>
      <c r="O13" s="1378"/>
    </row>
    <row r="14" spans="1:15">
      <c r="A14" s="1368">
        <f>+A13+1</f>
        <v>4</v>
      </c>
      <c r="C14" s="1379"/>
      <c r="D14" s="1379"/>
      <c r="E14" s="1379"/>
      <c r="F14" s="1379"/>
      <c r="G14" s="1379"/>
      <c r="H14" s="1377">
        <f t="shared" si="0"/>
        <v>0</v>
      </c>
      <c r="J14" s="1378"/>
      <c r="L14" s="1378"/>
      <c r="M14" s="1378"/>
      <c r="N14" s="1378"/>
      <c r="O14" s="1378"/>
    </row>
    <row r="15" spans="1:15">
      <c r="A15" s="1368">
        <f>+A14+1</f>
        <v>5</v>
      </c>
      <c r="C15" s="1379"/>
      <c r="D15" s="1379"/>
      <c r="E15" s="1379"/>
      <c r="F15" s="1379"/>
      <c r="G15" s="1379"/>
      <c r="H15" s="1377">
        <f t="shared" si="0"/>
        <v>0</v>
      </c>
      <c r="J15" s="1378"/>
      <c r="L15" s="1378"/>
      <c r="M15" s="1378"/>
      <c r="N15" s="1378"/>
      <c r="O15" s="1378"/>
    </row>
    <row r="16" spans="1:15">
      <c r="A16" s="1368">
        <f>+A15+1</f>
        <v>6</v>
      </c>
      <c r="C16" s="1380" t="s">
        <v>739</v>
      </c>
      <c r="D16" s="1380"/>
      <c r="E16" s="1380"/>
      <c r="F16" s="1381">
        <f>+SUM(F11:F15)</f>
        <v>0</v>
      </c>
      <c r="G16" s="1381">
        <f>+SUM(G11:G15)</f>
        <v>0</v>
      </c>
      <c r="H16" s="1381">
        <f>+SUM(H11:H15)</f>
        <v>0</v>
      </c>
      <c r="J16" s="1378"/>
      <c r="L16" s="1378"/>
      <c r="M16" s="1378"/>
      <c r="N16" s="1378"/>
      <c r="O16" s="1378"/>
    </row>
    <row r="18" spans="1:8" ht="29.25" customHeight="1">
      <c r="A18" s="2073" t="s">
        <v>780</v>
      </c>
      <c r="B18" s="2073"/>
      <c r="C18" s="2073"/>
      <c r="D18" s="2073"/>
      <c r="E18" s="2073"/>
      <c r="F18" s="2073"/>
      <c r="G18" s="2073"/>
      <c r="H18" s="2073"/>
    </row>
  </sheetData>
  <mergeCells count="6">
    <mergeCell ref="A18:H18"/>
    <mergeCell ref="A2:H2"/>
    <mergeCell ref="A3:H3"/>
    <mergeCell ref="A4:H4"/>
    <mergeCell ref="A5:H5"/>
    <mergeCell ref="H8:H9"/>
  </mergeCells>
  <printOptions horizontalCentered="1"/>
  <pageMargins left="0.25" right="0.25" top="1" bottom="0" header="0.65" footer="0"/>
  <pageSetup scale="52" fitToHeight="2" orientation="portrait" horizontalDpi="1200" verticalDpi="1200" r:id="rId1"/>
  <headerFooter alignWithMargins="0">
    <oddHeader xml:space="preserve">&amp;R&amp;12AEP - SPP Transco Formula Rate
TCOS - WS R
Page: &amp;P of &amp;N&amp;16
</oddHeader>
    <oddFooter xml:space="preserve">&amp;R &amp;C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2"/>
  <sheetViews>
    <sheetView topLeftCell="D25" zoomScale="70" zoomScaleNormal="70" zoomScaleSheetLayoutView="84" zoomScalePageLayoutView="80" workbookViewId="0">
      <selection activeCell="V39" sqref="V39"/>
    </sheetView>
  </sheetViews>
  <sheetFormatPr defaultColWidth="8.7265625" defaultRowHeight="12.75" customHeight="1"/>
  <cols>
    <col min="1" max="1" width="7.453125" style="132" customWidth="1"/>
    <col min="2" max="2" width="9" style="132" customWidth="1"/>
    <col min="3" max="3" width="45.7265625" style="132" customWidth="1"/>
    <col min="4" max="4" width="9.26953125" style="132" customWidth="1"/>
    <col min="5" max="5" width="13.26953125" style="132" customWidth="1"/>
    <col min="6" max="6" width="11.54296875" style="132" customWidth="1"/>
    <col min="7" max="7" width="12.81640625" style="132" customWidth="1"/>
    <col min="8" max="8" width="3.26953125" style="132" customWidth="1"/>
    <col min="9" max="10" width="14.81640625" style="132" customWidth="1"/>
    <col min="11" max="11" width="15.26953125" style="132" customWidth="1"/>
    <col min="12" max="12" width="2.453125" style="132" customWidth="1"/>
    <col min="13" max="13" width="10.453125" style="132" customWidth="1"/>
    <col min="14" max="14" width="14.1796875" style="132" customWidth="1"/>
    <col min="15" max="16" width="14.453125" style="132" customWidth="1"/>
    <col min="17" max="17" width="11.1796875" style="132" bestFit="1" customWidth="1"/>
    <col min="18" max="18" width="21.453125" style="132" customWidth="1"/>
    <col min="19" max="19" width="2.453125" style="132" customWidth="1"/>
    <col min="20" max="20" width="17.453125" style="132" customWidth="1"/>
    <col min="21" max="21" width="8.7265625" style="132"/>
    <col min="22" max="22" width="16.7265625" style="132" customWidth="1"/>
    <col min="23" max="16384" width="8.7265625" style="132"/>
  </cols>
  <sheetData>
    <row r="1" spans="1:23" ht="16.5" customHeight="1">
      <c r="A1" s="131"/>
    </row>
    <row r="2" spans="1:23" ht="15.5">
      <c r="H2" s="133" t="s">
        <v>678</v>
      </c>
      <c r="U2" s="132">
        <f>+'OKT TCOS'!N2</f>
        <v>2019</v>
      </c>
    </row>
    <row r="3" spans="1:23" ht="15.5">
      <c r="H3" s="134" t="s">
        <v>677</v>
      </c>
    </row>
    <row r="4" spans="1:23" ht="15.5">
      <c r="H4" s="58" t="str">
        <f>"For True Up Year "&amp;U2&amp;""</f>
        <v>For True Up Year 2019</v>
      </c>
    </row>
    <row r="5" spans="1:23" ht="15.5">
      <c r="H5" s="53"/>
    </row>
    <row r="6" spans="1:23" ht="15.5">
      <c r="H6" s="135" t="s">
        <v>552</v>
      </c>
    </row>
    <row r="8" spans="1:23" ht="18">
      <c r="C8" s="136"/>
      <c r="E8" s="136"/>
      <c r="F8" s="136"/>
      <c r="G8" s="136"/>
      <c r="H8" s="137" t="str">
        <f>+'OKT TCOS'!F8</f>
        <v>AEP OKLAHOMA TRANSMISSION COMPANY, INC.</v>
      </c>
      <c r="I8" s="136"/>
      <c r="J8" s="136"/>
      <c r="K8" s="136"/>
    </row>
    <row r="9" spans="1:23" ht="12.5">
      <c r="D9" s="138"/>
    </row>
    <row r="10" spans="1:23" ht="12.5">
      <c r="A10" s="132" t="s">
        <v>681</v>
      </c>
    </row>
    <row r="13" spans="1:23" ht="24.75" customHeight="1" thickBot="1">
      <c r="A13" s="139" t="s">
        <v>300</v>
      </c>
      <c r="B13" s="139" t="s">
        <v>301</v>
      </c>
      <c r="C13" s="140" t="s">
        <v>47</v>
      </c>
      <c r="D13" s="139" t="s">
        <v>303</v>
      </c>
      <c r="E13" s="139" t="s">
        <v>228</v>
      </c>
      <c r="F13" s="139" t="s">
        <v>229</v>
      </c>
      <c r="G13" s="139" t="str">
        <f>"(G) = "&amp;E13&amp;" + "&amp;F13</f>
        <v>(G) = (E) + (F)</v>
      </c>
      <c r="H13" s="139"/>
      <c r="I13" s="139" t="s">
        <v>235</v>
      </c>
      <c r="J13" s="139" t="s">
        <v>176</v>
      </c>
      <c r="K13" s="139" t="str">
        <f>"(J) = "&amp;I13&amp;" - "&amp;J13</f>
        <v>(J) = (H) - (I)</v>
      </c>
      <c r="L13" s="139"/>
      <c r="M13" s="139" t="s">
        <v>842</v>
      </c>
      <c r="N13" s="139" t="s">
        <v>553</v>
      </c>
      <c r="O13" s="139" t="str">
        <f>"(M) = "&amp;M13&amp;"-"&amp;N13</f>
        <v>(M) = (K)-(L)</v>
      </c>
      <c r="P13" s="139" t="s">
        <v>843</v>
      </c>
      <c r="Q13" s="139" t="s">
        <v>555</v>
      </c>
      <c r="R13" s="139" t="str">
        <f>"(P) = "&amp;LEFT(K13,3)&amp;"+ "&amp;LEFT(P13,3)&amp;"+"&amp;LEFT(O13,3)&amp;"+"&amp;Q13</f>
        <v>(P) = (J)+ (N)+(M)+(O)</v>
      </c>
      <c r="S13" s="139"/>
      <c r="T13" s="139" t="str">
        <f>"(Q) = "&amp;LEFT(G13,3)&amp;" + "&amp;LEFT(R13,3)</f>
        <v>(Q) = (G) + (P)</v>
      </c>
      <c r="U13" s="139"/>
      <c r="V13" s="141"/>
      <c r="W13" s="142"/>
    </row>
    <row r="14" spans="1:23" ht="16.5" customHeight="1" thickBot="1">
      <c r="A14" s="143"/>
      <c r="B14" s="144"/>
      <c r="C14" s="144"/>
      <c r="D14" s="144"/>
      <c r="E14" s="1972" t="str">
        <f>"Projected ARR For "&amp;U2+1&amp;" From WS-F"</f>
        <v>Projected ARR For 2020 From WS-F</v>
      </c>
      <c r="F14" s="1972"/>
      <c r="G14" s="1972"/>
      <c r="H14" s="144"/>
      <c r="I14" s="1972" t="str">
        <f>"True Up ARR For "&amp;U2&amp;" From WS-G"</f>
        <v>True Up ARR For 2019 From WS-G</v>
      </c>
      <c r="J14" s="1972"/>
      <c r="K14" s="1972"/>
      <c r="L14" s="145"/>
      <c r="M14" s="145" t="s">
        <v>557</v>
      </c>
      <c r="N14" s="146"/>
      <c r="O14" s="146"/>
      <c r="P14" s="147"/>
      <c r="Q14" s="148"/>
      <c r="R14" s="149"/>
      <c r="S14" s="144"/>
      <c r="T14" s="150"/>
      <c r="U14" s="151"/>
    </row>
    <row r="15" spans="1:23" ht="76.900000000000006" customHeight="1" thickBot="1">
      <c r="A15" s="152" t="s">
        <v>558</v>
      </c>
      <c r="B15" s="153" t="s">
        <v>559</v>
      </c>
      <c r="C15" s="153" t="s">
        <v>560</v>
      </c>
      <c r="D15" s="153" t="s">
        <v>561</v>
      </c>
      <c r="E15" s="153" t="s">
        <v>556</v>
      </c>
      <c r="F15" s="153" t="s">
        <v>562</v>
      </c>
      <c r="G15" s="153" t="s">
        <v>257</v>
      </c>
      <c r="H15" s="153"/>
      <c r="I15" s="153" t="s">
        <v>915</v>
      </c>
      <c r="J15" s="153" t="s">
        <v>916</v>
      </c>
      <c r="K15" s="153" t="s">
        <v>913</v>
      </c>
      <c r="L15" s="153"/>
      <c r="M15" s="153" t="s">
        <v>563</v>
      </c>
      <c r="N15" s="153" t="s">
        <v>917</v>
      </c>
      <c r="O15" s="153" t="s">
        <v>913</v>
      </c>
      <c r="P15" s="153" t="s">
        <v>925</v>
      </c>
      <c r="Q15" s="153" t="s">
        <v>914</v>
      </c>
      <c r="R15" s="153" t="s">
        <v>926</v>
      </c>
      <c r="S15" s="154"/>
      <c r="T15" s="155" t="str">
        <f>"Total ADJUSTED Revenue Requirement Effective
1/1/"&amp;U2&amp;""</f>
        <v>Total ADJUSTED Revenue Requirement Effective
1/1/2019</v>
      </c>
      <c r="V15" s="156" t="s">
        <v>676</v>
      </c>
    </row>
    <row r="16" spans="1:23" ht="13">
      <c r="A16" s="157"/>
      <c r="B16" s="158"/>
      <c r="C16" s="158"/>
      <c r="D16" s="159"/>
      <c r="E16" s="160"/>
      <c r="F16" s="160"/>
      <c r="G16" s="160"/>
      <c r="H16" s="159"/>
      <c r="I16" s="160"/>
      <c r="J16" s="160"/>
      <c r="K16" s="160"/>
      <c r="L16" s="160"/>
      <c r="M16" s="160"/>
      <c r="N16" s="160"/>
      <c r="O16" s="160"/>
      <c r="P16" s="160"/>
      <c r="Q16" s="160"/>
      <c r="R16" s="160"/>
      <c r="S16" s="159"/>
      <c r="T16" s="161"/>
      <c r="V16" s="162"/>
    </row>
    <row r="17" spans="1:23" ht="13">
      <c r="A17" s="163" t="s">
        <v>1029</v>
      </c>
      <c r="B17" s="139" t="s">
        <v>1030</v>
      </c>
      <c r="C17" s="164" t="s">
        <v>1048</v>
      </c>
      <c r="D17" s="165">
        <v>2010</v>
      </c>
      <c r="E17" s="166">
        <v>0</v>
      </c>
      <c r="F17" s="167">
        <v>0</v>
      </c>
      <c r="G17" s="167">
        <v>0</v>
      </c>
      <c r="H17" s="168"/>
      <c r="I17" s="166">
        <v>1901.8854810385237</v>
      </c>
      <c r="J17" s="169">
        <v>118503.31573987207</v>
      </c>
      <c r="K17" s="169">
        <v>125499.06312681051</v>
      </c>
      <c r="L17" s="166"/>
      <c r="M17" s="166"/>
      <c r="N17" s="167">
        <v>0</v>
      </c>
      <c r="O17" s="167">
        <v>0</v>
      </c>
      <c r="P17" s="167">
        <v>0</v>
      </c>
      <c r="Q17" s="169">
        <v>-523.79400350318519</v>
      </c>
      <c r="R17" s="170">
        <v>-5617.6559094031027</v>
      </c>
      <c r="S17" s="170"/>
      <c r="T17" s="186">
        <v>-5617.6559094031027</v>
      </c>
      <c r="V17" s="171">
        <v>-5093.8619058999175</v>
      </c>
      <c r="W17" s="132" t="s">
        <v>1029</v>
      </c>
    </row>
    <row r="18" spans="1:23" ht="13">
      <c r="A18" s="163" t="s">
        <v>1031</v>
      </c>
      <c r="B18" s="139" t="s">
        <v>1030</v>
      </c>
      <c r="C18" s="164" t="s">
        <v>1049</v>
      </c>
      <c r="D18" s="165">
        <v>2010</v>
      </c>
      <c r="E18" s="166">
        <v>0</v>
      </c>
      <c r="F18" s="167">
        <v>0</v>
      </c>
      <c r="G18" s="167">
        <v>0</v>
      </c>
      <c r="H18" s="168"/>
      <c r="I18" s="166">
        <v>2784.4319610480743</v>
      </c>
      <c r="J18" s="169">
        <v>160169.15499312466</v>
      </c>
      <c r="K18" s="169">
        <v>169624.61149672928</v>
      </c>
      <c r="L18" s="166"/>
      <c r="M18" s="166"/>
      <c r="N18" s="167">
        <v>0</v>
      </c>
      <c r="O18" s="167">
        <v>0</v>
      </c>
      <c r="P18" s="167">
        <v>0</v>
      </c>
      <c r="Q18" s="169">
        <v>-685.97121735210897</v>
      </c>
      <c r="R18" s="170">
        <v>-7356.9957599086611</v>
      </c>
      <c r="S18" s="170"/>
      <c r="T18" s="186">
        <v>-7356.9957599086611</v>
      </c>
      <c r="V18" s="171">
        <v>-6671.0245425565518</v>
      </c>
      <c r="W18" s="132" t="s">
        <v>1031</v>
      </c>
    </row>
    <row r="19" spans="1:23" ht="13">
      <c r="A19" s="163" t="s">
        <v>1032</v>
      </c>
      <c r="B19" s="139" t="s">
        <v>1030</v>
      </c>
      <c r="C19" s="164" t="s">
        <v>1050</v>
      </c>
      <c r="D19" s="165">
        <v>2011</v>
      </c>
      <c r="E19" s="166">
        <v>0</v>
      </c>
      <c r="F19" s="167">
        <v>0</v>
      </c>
      <c r="G19" s="167">
        <v>0</v>
      </c>
      <c r="H19" s="168"/>
      <c r="I19" s="166">
        <v>1742.1433940639981</v>
      </c>
      <c r="J19" s="169">
        <v>101908.8933261754</v>
      </c>
      <c r="K19" s="169">
        <v>107925.00240921015</v>
      </c>
      <c r="L19" s="166"/>
      <c r="M19" s="166"/>
      <c r="N19" s="167">
        <v>0</v>
      </c>
      <c r="O19" s="167">
        <v>0</v>
      </c>
      <c r="P19" s="167">
        <v>0</v>
      </c>
      <c r="Q19" s="169">
        <v>-439.48533360676964</v>
      </c>
      <c r="R19" s="170">
        <v>-4713.4510225775248</v>
      </c>
      <c r="S19" s="170"/>
      <c r="T19" s="186">
        <v>-4713.4510225775248</v>
      </c>
      <c r="V19" s="171">
        <v>-4273.9656889707549</v>
      </c>
      <c r="W19" s="132" t="s">
        <v>1032</v>
      </c>
    </row>
    <row r="20" spans="1:23" ht="13">
      <c r="A20" s="163" t="s">
        <v>1033</v>
      </c>
      <c r="B20" s="139" t="s">
        <v>1030</v>
      </c>
      <c r="C20" s="164" t="s">
        <v>1051</v>
      </c>
      <c r="D20" s="165">
        <v>2011</v>
      </c>
      <c r="E20" s="166">
        <v>0</v>
      </c>
      <c r="F20" s="167">
        <v>0</v>
      </c>
      <c r="G20" s="167">
        <v>0</v>
      </c>
      <c r="H20" s="168"/>
      <c r="I20" s="166">
        <v>24304.180288543226</v>
      </c>
      <c r="J20" s="169">
        <v>1811512.8217907238</v>
      </c>
      <c r="K20" s="169">
        <v>1918454.0158858013</v>
      </c>
      <c r="L20" s="166"/>
      <c r="M20" s="166"/>
      <c r="N20" s="167">
        <v>0</v>
      </c>
      <c r="O20" s="167">
        <v>0</v>
      </c>
      <c r="P20" s="167">
        <v>0</v>
      </c>
      <c r="Q20" s="169">
        <v>-8497.4373272935354</v>
      </c>
      <c r="R20" s="170">
        <v>-91134.451133827766</v>
      </c>
      <c r="S20" s="170"/>
      <c r="T20" s="186">
        <v>-91134.451133827766</v>
      </c>
      <c r="V20" s="171">
        <v>-82637.013806534233</v>
      </c>
      <c r="W20" s="132" t="s">
        <v>1033</v>
      </c>
    </row>
    <row r="21" spans="1:23" ht="13">
      <c r="A21" s="163" t="s">
        <v>1034</v>
      </c>
      <c r="B21" s="139" t="s">
        <v>1030</v>
      </c>
      <c r="C21" s="164" t="s">
        <v>1052</v>
      </c>
      <c r="D21" s="165">
        <v>2012</v>
      </c>
      <c r="E21" s="166">
        <v>0</v>
      </c>
      <c r="F21" s="167">
        <v>0</v>
      </c>
      <c r="G21" s="167">
        <v>0</v>
      </c>
      <c r="H21" s="168"/>
      <c r="I21" s="166">
        <v>0</v>
      </c>
      <c r="J21" s="169">
        <v>0</v>
      </c>
      <c r="K21" s="169">
        <v>0</v>
      </c>
      <c r="L21" s="166"/>
      <c r="M21" s="166"/>
      <c r="N21" s="167">
        <v>0</v>
      </c>
      <c r="O21" s="167">
        <v>0</v>
      </c>
      <c r="P21" s="167">
        <v>0</v>
      </c>
      <c r="Q21" s="169">
        <v>0</v>
      </c>
      <c r="R21" s="170">
        <v>0</v>
      </c>
      <c r="S21" s="170"/>
      <c r="T21" s="186">
        <v>0</v>
      </c>
      <c r="V21" s="171">
        <v>0</v>
      </c>
      <c r="W21" s="132" t="s">
        <v>1034</v>
      </c>
    </row>
    <row r="22" spans="1:23" ht="25">
      <c r="A22" s="163" t="s">
        <v>1035</v>
      </c>
      <c r="B22" s="139" t="s">
        <v>1030</v>
      </c>
      <c r="C22" s="164" t="s">
        <v>1053</v>
      </c>
      <c r="D22" s="165">
        <v>2013</v>
      </c>
      <c r="E22" s="166">
        <v>0</v>
      </c>
      <c r="F22" s="167">
        <v>0</v>
      </c>
      <c r="G22" s="167">
        <v>0</v>
      </c>
      <c r="H22" s="168"/>
      <c r="I22" s="166">
        <v>83964.991452114657</v>
      </c>
      <c r="J22" s="169">
        <v>4935311.0443271641</v>
      </c>
      <c r="K22" s="169">
        <v>5226663.1396378893</v>
      </c>
      <c r="L22" s="166"/>
      <c r="M22" s="166"/>
      <c r="N22" s="167">
        <v>0</v>
      </c>
      <c r="O22" s="167">
        <v>0</v>
      </c>
      <c r="P22" s="167">
        <v>0</v>
      </c>
      <c r="Q22" s="169">
        <v>-21325.297664472411</v>
      </c>
      <c r="R22" s="170">
        <v>-228712.40152308304</v>
      </c>
      <c r="S22" s="170"/>
      <c r="T22" s="186">
        <v>-228712.40152308304</v>
      </c>
      <c r="V22" s="171">
        <v>-207387.10385861062</v>
      </c>
      <c r="W22" s="132" t="s">
        <v>1035</v>
      </c>
    </row>
    <row r="23" spans="1:23" ht="13">
      <c r="A23" s="163" t="s">
        <v>1036</v>
      </c>
      <c r="B23" s="139" t="s">
        <v>1030</v>
      </c>
      <c r="C23" s="164" t="s">
        <v>1054</v>
      </c>
      <c r="D23" s="165">
        <v>2014</v>
      </c>
      <c r="E23" s="166">
        <v>0</v>
      </c>
      <c r="F23" s="167">
        <v>0</v>
      </c>
      <c r="G23" s="167">
        <v>0</v>
      </c>
      <c r="H23" s="168"/>
      <c r="I23" s="166">
        <v>32037.688592522405</v>
      </c>
      <c r="J23" s="169">
        <v>1758080.1220098534</v>
      </c>
      <c r="K23" s="169">
        <v>1861866.9598952732</v>
      </c>
      <c r="L23" s="166"/>
      <c r="M23" s="166"/>
      <c r="N23" s="167">
        <v>0</v>
      </c>
      <c r="O23" s="167">
        <v>0</v>
      </c>
      <c r="P23" s="167">
        <v>0</v>
      </c>
      <c r="Q23" s="169">
        <v>-7377.8549262487331</v>
      </c>
      <c r="R23" s="170">
        <v>-79127.004219146169</v>
      </c>
      <c r="S23" s="170"/>
      <c r="T23" s="186">
        <v>-79127.004219146169</v>
      </c>
      <c r="V23" s="171">
        <v>-71749.149292897433</v>
      </c>
      <c r="W23" s="132" t="s">
        <v>1036</v>
      </c>
    </row>
    <row r="24" spans="1:23" ht="13">
      <c r="A24" s="163" t="s">
        <v>1037</v>
      </c>
      <c r="B24" s="139" t="s">
        <v>1030</v>
      </c>
      <c r="C24" s="164" t="s">
        <v>1055</v>
      </c>
      <c r="D24" s="165">
        <v>2014</v>
      </c>
      <c r="E24" s="172">
        <v>0</v>
      </c>
      <c r="F24" s="173">
        <v>0</v>
      </c>
      <c r="G24" s="173">
        <v>0</v>
      </c>
      <c r="H24" s="174"/>
      <c r="I24" s="172">
        <v>4653.1643926791439</v>
      </c>
      <c r="J24" s="169">
        <v>323278.70877986873</v>
      </c>
      <c r="K24" s="169">
        <v>342363.20585136005</v>
      </c>
      <c r="L24" s="172"/>
      <c r="M24" s="172"/>
      <c r="N24" s="173">
        <v>0</v>
      </c>
      <c r="O24" s="173">
        <v>0</v>
      </c>
      <c r="P24" s="173">
        <v>0</v>
      </c>
      <c r="Q24" s="175">
        <v>-1483.9517951922062</v>
      </c>
      <c r="R24" s="176">
        <v>-15915.284474004384</v>
      </c>
      <c r="S24" s="176"/>
      <c r="T24" s="186">
        <v>-15915.284474004384</v>
      </c>
      <c r="V24" s="171">
        <v>-14431.332678812178</v>
      </c>
      <c r="W24" s="132" t="s">
        <v>1037</v>
      </c>
    </row>
    <row r="25" spans="1:23" ht="13">
      <c r="A25" s="177" t="s">
        <v>1038</v>
      </c>
      <c r="B25" s="139" t="s">
        <v>1030</v>
      </c>
      <c r="C25" s="164" t="s">
        <v>1056</v>
      </c>
      <c r="D25" s="165">
        <v>2015</v>
      </c>
      <c r="E25" s="172">
        <v>0</v>
      </c>
      <c r="F25" s="173">
        <v>0</v>
      </c>
      <c r="G25" s="173">
        <v>0</v>
      </c>
      <c r="H25" s="174"/>
      <c r="I25" s="172">
        <v>26879.203860886162</v>
      </c>
      <c r="J25" s="169">
        <v>1491687.8515347643</v>
      </c>
      <c r="K25" s="169">
        <v>1579748.4372183678</v>
      </c>
      <c r="L25" s="172"/>
      <c r="M25" s="172"/>
      <c r="N25" s="173">
        <v>0</v>
      </c>
      <c r="O25" s="173">
        <v>0</v>
      </c>
      <c r="P25" s="173">
        <v>0</v>
      </c>
      <c r="Q25" s="175">
        <v>-6291.1876130094233</v>
      </c>
      <c r="R25" s="176">
        <v>-67472.569435726793</v>
      </c>
      <c r="S25" s="176"/>
      <c r="T25" s="186">
        <v>-67472.569435726793</v>
      </c>
      <c r="V25" s="171">
        <v>-61181.381822717376</v>
      </c>
      <c r="W25" s="132" t="s">
        <v>1038</v>
      </c>
    </row>
    <row r="26" spans="1:23" ht="13">
      <c r="A26" s="177" t="s">
        <v>1039</v>
      </c>
      <c r="B26" s="139" t="s">
        <v>1030</v>
      </c>
      <c r="C26" s="164" t="s">
        <v>1057</v>
      </c>
      <c r="D26" s="165">
        <v>2013</v>
      </c>
      <c r="E26" s="172">
        <v>0</v>
      </c>
      <c r="F26" s="173">
        <v>0</v>
      </c>
      <c r="G26" s="173">
        <v>0</v>
      </c>
      <c r="H26" s="174"/>
      <c r="I26" s="172">
        <v>35312.366364019806</v>
      </c>
      <c r="J26" s="169">
        <v>1255322.3111925949</v>
      </c>
      <c r="K26" s="169">
        <v>1329429.2483990474</v>
      </c>
      <c r="L26" s="172"/>
      <c r="M26" s="172"/>
      <c r="N26" s="173">
        <v>0</v>
      </c>
      <c r="O26" s="173">
        <v>0</v>
      </c>
      <c r="P26" s="173">
        <v>0</v>
      </c>
      <c r="Q26" s="175">
        <v>-3989.1861913668827</v>
      </c>
      <c r="R26" s="176">
        <v>-42783.757033799557</v>
      </c>
      <c r="S26" s="176"/>
      <c r="T26" s="186">
        <v>-42783.757033799557</v>
      </c>
      <c r="V26" s="171">
        <v>-38794.570842432673</v>
      </c>
      <c r="W26" s="132" t="s">
        <v>1039</v>
      </c>
    </row>
    <row r="27" spans="1:23" ht="16.5" customHeight="1">
      <c r="A27" s="177" t="s">
        <v>1040</v>
      </c>
      <c r="B27" s="139" t="s">
        <v>1030</v>
      </c>
      <c r="C27" s="164" t="s">
        <v>1058</v>
      </c>
      <c r="D27" s="165">
        <v>2014</v>
      </c>
      <c r="E27" s="172">
        <v>0</v>
      </c>
      <c r="F27" s="173">
        <v>0</v>
      </c>
      <c r="G27" s="173">
        <v>0</v>
      </c>
      <c r="H27" s="174"/>
      <c r="I27" s="172">
        <v>63254.840205323417</v>
      </c>
      <c r="J27" s="169">
        <v>3517323.8947126861</v>
      </c>
      <c r="K27" s="169">
        <v>3724966.2656609048</v>
      </c>
      <c r="L27" s="172"/>
      <c r="M27" s="172"/>
      <c r="N27" s="173">
        <v>0</v>
      </c>
      <c r="O27" s="173">
        <v>0</v>
      </c>
      <c r="P27" s="173">
        <v>0</v>
      </c>
      <c r="Q27" s="175">
        <v>-14847.148230729108</v>
      </c>
      <c r="R27" s="176">
        <v>-159234.67897362442</v>
      </c>
      <c r="S27" s="176"/>
      <c r="T27" s="186">
        <v>-159234.67897362442</v>
      </c>
      <c r="V27" s="171">
        <v>-144387.53074289532</v>
      </c>
      <c r="W27" s="132" t="s">
        <v>1040</v>
      </c>
    </row>
    <row r="28" spans="1:23" ht="17.25" customHeight="1">
      <c r="A28" s="177" t="s">
        <v>1041</v>
      </c>
      <c r="B28" s="139" t="s">
        <v>1030</v>
      </c>
      <c r="C28" s="164" t="s">
        <v>1059</v>
      </c>
      <c r="D28" s="165">
        <v>2013</v>
      </c>
      <c r="E28" s="172">
        <v>0</v>
      </c>
      <c r="F28" s="173">
        <v>0</v>
      </c>
      <c r="G28" s="173">
        <v>0</v>
      </c>
      <c r="H28" s="174"/>
      <c r="I28" s="172">
        <v>68946.267190324143</v>
      </c>
      <c r="J28" s="169">
        <v>2307954.3783235746</v>
      </c>
      <c r="K28" s="169">
        <v>2444202.5981351808</v>
      </c>
      <c r="L28" s="172"/>
      <c r="M28" s="172"/>
      <c r="N28" s="173">
        <v>0</v>
      </c>
      <c r="O28" s="173">
        <v>0</v>
      </c>
      <c r="P28" s="173">
        <v>0</v>
      </c>
      <c r="Q28" s="175">
        <v>-6920.5565165110411</v>
      </c>
      <c r="R28" s="176">
        <v>-74222.509137793124</v>
      </c>
      <c r="S28" s="176"/>
      <c r="T28" s="186">
        <v>-74222.509137793124</v>
      </c>
      <c r="V28" s="171">
        <v>-67301.952621282078</v>
      </c>
      <c r="W28" s="132" t="s">
        <v>1041</v>
      </c>
    </row>
    <row r="29" spans="1:23" ht="17.25" customHeight="1">
      <c r="A29" s="177" t="s">
        <v>1042</v>
      </c>
      <c r="B29" s="139" t="s">
        <v>1030</v>
      </c>
      <c r="C29" s="164" t="s">
        <v>1060</v>
      </c>
      <c r="D29" s="165">
        <v>2013</v>
      </c>
      <c r="E29" s="172">
        <v>0</v>
      </c>
      <c r="F29" s="173">
        <v>0</v>
      </c>
      <c r="G29" s="173">
        <v>0</v>
      </c>
      <c r="H29" s="174"/>
      <c r="I29" s="172">
        <v>611561.28076019743</v>
      </c>
      <c r="J29" s="169">
        <v>277202.71132486576</v>
      </c>
      <c r="K29" s="169">
        <v>293567.14915764355</v>
      </c>
      <c r="L29" s="172"/>
      <c r="M29" s="172"/>
      <c r="N29" s="173">
        <v>0</v>
      </c>
      <c r="O29" s="173">
        <v>0</v>
      </c>
      <c r="P29" s="173">
        <v>0</v>
      </c>
      <c r="Q29" s="175">
        <v>61203.178057951634</v>
      </c>
      <c r="R29" s="176">
        <v>656400.0209853712</v>
      </c>
      <c r="S29" s="176"/>
      <c r="T29" s="186">
        <v>656400.0209853712</v>
      </c>
      <c r="V29" s="171">
        <v>595196.84292741958</v>
      </c>
      <c r="W29" s="132" t="s">
        <v>1042</v>
      </c>
    </row>
    <row r="30" spans="1:23" ht="17.25" customHeight="1">
      <c r="A30" s="177" t="s">
        <v>1043</v>
      </c>
      <c r="B30" s="139" t="s">
        <v>1030</v>
      </c>
      <c r="C30" s="164" t="s">
        <v>1061</v>
      </c>
      <c r="D30" s="165">
        <v>2016</v>
      </c>
      <c r="E30" s="172">
        <v>0</v>
      </c>
      <c r="F30" s="173">
        <v>0</v>
      </c>
      <c r="G30" s="173">
        <v>0</v>
      </c>
      <c r="H30" s="174"/>
      <c r="I30" s="172">
        <v>-50008.27845297195</v>
      </c>
      <c r="J30" s="169">
        <v>13024474.326578073</v>
      </c>
      <c r="K30" s="169">
        <v>13793363.632902758</v>
      </c>
      <c r="L30" s="172"/>
      <c r="M30" s="172"/>
      <c r="N30" s="173">
        <v>0</v>
      </c>
      <c r="O30" s="173">
        <v>0</v>
      </c>
      <c r="P30" s="173">
        <v>0</v>
      </c>
      <c r="Q30" s="175">
        <v>-84205.982084628078</v>
      </c>
      <c r="R30" s="176">
        <v>-903103.56686228502</v>
      </c>
      <c r="S30" s="176"/>
      <c r="T30" s="186">
        <v>-903103.56686228502</v>
      </c>
      <c r="V30" s="171">
        <v>-818897.58477765694</v>
      </c>
      <c r="W30" s="132" t="s">
        <v>1043</v>
      </c>
    </row>
    <row r="31" spans="1:23" ht="17.25" customHeight="1">
      <c r="A31" s="177" t="s">
        <v>1044</v>
      </c>
      <c r="B31" s="139" t="s">
        <v>1030</v>
      </c>
      <c r="C31" s="164" t="s">
        <v>1062</v>
      </c>
      <c r="D31" s="165">
        <v>2017</v>
      </c>
      <c r="E31" s="172">
        <v>0</v>
      </c>
      <c r="F31" s="173">
        <v>0</v>
      </c>
      <c r="G31" s="173">
        <v>0</v>
      </c>
      <c r="H31" s="174"/>
      <c r="I31" s="172">
        <v>99319.89582780865</v>
      </c>
      <c r="J31" s="169">
        <v>1659201.7392259657</v>
      </c>
      <c r="K31" s="169">
        <v>1757151.3717668236</v>
      </c>
      <c r="L31" s="172"/>
      <c r="M31" s="172"/>
      <c r="N31" s="173">
        <v>0</v>
      </c>
      <c r="O31" s="173">
        <v>0</v>
      </c>
      <c r="P31" s="173">
        <v>0</v>
      </c>
      <c r="Q31" s="175">
        <v>140.9020711955431</v>
      </c>
      <c r="R31" s="176">
        <v>1511.1653581463083</v>
      </c>
      <c r="S31" s="176"/>
      <c r="T31" s="186">
        <v>1511.1653581463083</v>
      </c>
      <c r="V31" s="171">
        <v>1370.2632869507652</v>
      </c>
      <c r="W31" s="132" t="s">
        <v>1044</v>
      </c>
    </row>
    <row r="32" spans="1:23" ht="17.25" customHeight="1">
      <c r="A32" s="177" t="s">
        <v>1045</v>
      </c>
      <c r="B32" s="139" t="s">
        <v>1030</v>
      </c>
      <c r="C32" s="164" t="s">
        <v>1063</v>
      </c>
      <c r="D32" s="165">
        <v>2017</v>
      </c>
      <c r="E32" s="172">
        <v>0</v>
      </c>
      <c r="F32" s="173">
        <v>0</v>
      </c>
      <c r="G32" s="173">
        <v>0</v>
      </c>
      <c r="H32" s="174"/>
      <c r="I32" s="172">
        <v>126307.7206779574</v>
      </c>
      <c r="J32" s="169">
        <v>1408601.6303679945</v>
      </c>
      <c r="K32" s="169">
        <v>1491757.2881937656</v>
      </c>
      <c r="L32" s="172"/>
      <c r="M32" s="172"/>
      <c r="N32" s="173">
        <v>0</v>
      </c>
      <c r="O32" s="173">
        <v>0</v>
      </c>
      <c r="P32" s="173">
        <v>0</v>
      </c>
      <c r="Q32" s="175">
        <v>4437.2604083727338</v>
      </c>
      <c r="R32" s="176">
        <v>47589.323260559118</v>
      </c>
      <c r="S32" s="176"/>
      <c r="T32" s="186">
        <v>47589.323260559118</v>
      </c>
      <c r="V32" s="171">
        <v>43152.062852186384</v>
      </c>
      <c r="W32" s="132" t="s">
        <v>1045</v>
      </c>
    </row>
    <row r="33" spans="1:23" ht="17.25" customHeight="1">
      <c r="A33" s="177" t="s">
        <v>1046</v>
      </c>
      <c r="B33" s="139" t="s">
        <v>1030</v>
      </c>
      <c r="C33" s="164" t="s">
        <v>1064</v>
      </c>
      <c r="D33" s="165">
        <v>2017</v>
      </c>
      <c r="E33" s="172">
        <v>0</v>
      </c>
      <c r="F33" s="173">
        <v>0</v>
      </c>
      <c r="G33" s="173">
        <v>0</v>
      </c>
      <c r="H33" s="174"/>
      <c r="I33" s="172">
        <v>980448.60182941146</v>
      </c>
      <c r="J33" s="169">
        <v>12626698.526788646</v>
      </c>
      <c r="K33" s="169">
        <v>13372105.460535057</v>
      </c>
      <c r="L33" s="172"/>
      <c r="M33" s="172"/>
      <c r="N33" s="173">
        <v>0</v>
      </c>
      <c r="O33" s="173">
        <v>0</v>
      </c>
      <c r="P33" s="173">
        <v>0</v>
      </c>
      <c r="Q33" s="175">
        <v>24168.974069098127</v>
      </c>
      <c r="R33" s="176">
        <v>259210.64215209906</v>
      </c>
      <c r="S33" s="176"/>
      <c r="T33" s="186">
        <v>259210.64215209906</v>
      </c>
      <c r="V33" s="171">
        <v>235041.66808300093</v>
      </c>
      <c r="W33" s="132" t="s">
        <v>1046</v>
      </c>
    </row>
    <row r="34" spans="1:23" ht="17.25" customHeight="1">
      <c r="A34" s="177" t="s">
        <v>1047</v>
      </c>
      <c r="B34" s="139" t="s">
        <v>1030</v>
      </c>
      <c r="C34" s="164" t="s">
        <v>1065</v>
      </c>
      <c r="D34" s="165">
        <v>2018</v>
      </c>
      <c r="E34" s="172">
        <v>0</v>
      </c>
      <c r="F34" s="173">
        <v>0</v>
      </c>
      <c r="G34" s="173">
        <v>0</v>
      </c>
      <c r="H34" s="174"/>
      <c r="I34" s="172">
        <v>69568.672688211547</v>
      </c>
      <c r="J34" s="175">
        <v>930333.23821495997</v>
      </c>
      <c r="K34" s="169">
        <v>985254.70838302583</v>
      </c>
      <c r="L34" s="172"/>
      <c r="M34" s="172"/>
      <c r="N34" s="173">
        <v>0</v>
      </c>
      <c r="O34" s="173">
        <v>0</v>
      </c>
      <c r="P34" s="173">
        <v>0</v>
      </c>
      <c r="Q34" s="175">
        <v>1506.149359734879</v>
      </c>
      <c r="R34" s="176">
        <v>16153.351879880564</v>
      </c>
      <c r="S34" s="176"/>
      <c r="T34" s="186">
        <v>16153.351879880564</v>
      </c>
      <c r="V34" s="171">
        <v>14647.202520145685</v>
      </c>
      <c r="W34" s="132" t="s">
        <v>1047</v>
      </c>
    </row>
    <row r="35" spans="1:23" ht="17.25" customHeight="1">
      <c r="A35" s="177" t="s">
        <v>1066</v>
      </c>
      <c r="B35" s="139" t="s">
        <v>1030</v>
      </c>
      <c r="C35" s="164" t="s">
        <v>1067</v>
      </c>
      <c r="D35" s="165">
        <v>2019</v>
      </c>
      <c r="E35" s="172"/>
      <c r="F35" s="173"/>
      <c r="G35" s="173"/>
      <c r="H35" s="174"/>
      <c r="I35" s="172">
        <v>239895.2863540767</v>
      </c>
      <c r="J35" s="175">
        <v>1134524.7126540036</v>
      </c>
      <c r="K35" s="169">
        <v>1201500.461344349</v>
      </c>
      <c r="L35" s="178"/>
      <c r="M35" s="179">
        <v>0</v>
      </c>
      <c r="N35" s="179">
        <v>0</v>
      </c>
      <c r="O35" s="179">
        <f t="shared" ref="O35:O36" si="0">+M35-N35</f>
        <v>0</v>
      </c>
      <c r="P35" s="178"/>
      <c r="Q35" s="175">
        <v>17781.050721437685</v>
      </c>
      <c r="R35" s="176">
        <v>190700.58838516905</v>
      </c>
      <c r="S35" s="176"/>
      <c r="T35" s="186">
        <v>190700.58838516905</v>
      </c>
      <c r="V35" s="171">
        <v>172919.53766373137</v>
      </c>
      <c r="W35" s="132" t="s">
        <v>1066</v>
      </c>
    </row>
    <row r="36" spans="1:23" ht="17.25" customHeight="1">
      <c r="A36" s="180"/>
      <c r="B36" s="181"/>
      <c r="C36" s="182"/>
      <c r="D36" s="183"/>
      <c r="E36" s="178"/>
      <c r="F36" s="179"/>
      <c r="G36" s="179">
        <f t="shared" ref="G36" si="1">+E36+F36</f>
        <v>0</v>
      </c>
      <c r="H36" s="174"/>
      <c r="I36" s="178"/>
      <c r="J36" s="178"/>
      <c r="K36" s="178">
        <f t="shared" ref="K36" si="2">+I36-J36</f>
        <v>0</v>
      </c>
      <c r="L36" s="178"/>
      <c r="M36" s="179">
        <v>0</v>
      </c>
      <c r="N36" s="179">
        <v>0</v>
      </c>
      <c r="O36" s="179">
        <f t="shared" si="0"/>
        <v>0</v>
      </c>
      <c r="P36" s="178"/>
      <c r="Q36" s="178"/>
      <c r="R36" s="184">
        <f t="shared" ref="R36" si="3">K36+O36+P36+Q36</f>
        <v>0</v>
      </c>
      <c r="S36" s="185"/>
      <c r="T36" s="186"/>
      <c r="V36" s="187">
        <f t="shared" ref="V36" si="4">+K36+O36+P36</f>
        <v>0</v>
      </c>
    </row>
    <row r="37" spans="1:23" ht="13">
      <c r="A37" s="188"/>
      <c r="B37" s="189"/>
      <c r="C37" s="189"/>
      <c r="D37" s="181"/>
      <c r="E37" s="190"/>
      <c r="F37" s="190"/>
      <c r="G37" s="190"/>
      <c r="H37" s="184"/>
      <c r="I37" s="191"/>
      <c r="J37" s="191"/>
      <c r="K37" s="190"/>
      <c r="L37" s="190"/>
      <c r="M37" s="190"/>
      <c r="N37" s="190"/>
      <c r="O37" s="190"/>
      <c r="P37" s="190"/>
      <c r="Q37" s="190"/>
      <c r="R37" s="190"/>
      <c r="S37" s="184"/>
      <c r="T37" s="192"/>
      <c r="V37" s="193"/>
    </row>
    <row r="38" spans="1:23" ht="13.5" thickBot="1">
      <c r="A38" s="194"/>
      <c r="B38" s="195"/>
      <c r="C38" s="196" t="s">
        <v>954</v>
      </c>
      <c r="D38" s="197"/>
      <c r="E38" s="198">
        <f>SUM(E17:E37)</f>
        <v>0</v>
      </c>
      <c r="F38" s="198">
        <f>SUM(F17:F37)</f>
        <v>0</v>
      </c>
      <c r="G38" s="198">
        <f>SUM(G17:G37)</f>
        <v>0</v>
      </c>
      <c r="H38" s="198"/>
      <c r="I38" s="199">
        <f>SUM(I17:I37)</f>
        <v>2422874.3428672547</v>
      </c>
      <c r="J38" s="199">
        <f>SUM(J17:J37)</f>
        <v>48842089.38188491</v>
      </c>
      <c r="K38" s="198">
        <f>SUM(K17:K37)</f>
        <v>51725442.619999982</v>
      </c>
      <c r="L38" s="198"/>
      <c r="M38" s="198">
        <f>SUM(M17:M37)</f>
        <v>0</v>
      </c>
      <c r="N38" s="198">
        <f>SUM(N17:N37)</f>
        <v>0</v>
      </c>
      <c r="O38" s="198">
        <f>SUM(O17:O37)</f>
        <v>0</v>
      </c>
      <c r="P38" s="198">
        <f>SUM(P17:P37)</f>
        <v>0</v>
      </c>
      <c r="Q38" s="200">
        <f>-'OKT WS N Sch 11 TU'!P64</f>
        <v>-47350.33821612288</v>
      </c>
      <c r="R38" s="198">
        <f>SUM(R17:R37)</f>
        <v>-507829.23346395441</v>
      </c>
      <c r="S38" s="198"/>
      <c r="T38" s="201">
        <f>SUM(T17:T37)</f>
        <v>-507829.23346395441</v>
      </c>
      <c r="V38" s="202">
        <f>SUM(V17:V37)</f>
        <v>-460478.89524783136</v>
      </c>
      <c r="W38" s="203"/>
    </row>
    <row r="39" spans="1:23" ht="13.5" thickBot="1">
      <c r="A39" s="142"/>
      <c r="B39" s="142"/>
      <c r="C39" s="204"/>
      <c r="D39" s="142"/>
      <c r="E39" s="205"/>
      <c r="F39" s="206"/>
      <c r="G39" s="206"/>
      <c r="H39" s="142"/>
      <c r="I39" s="207"/>
      <c r="J39" s="208"/>
      <c r="K39" s="209"/>
      <c r="L39" s="209"/>
      <c r="M39" s="209"/>
      <c r="N39" s="209"/>
      <c r="O39" s="209"/>
      <c r="P39" s="209"/>
      <c r="Q39" s="210"/>
      <c r="R39" s="206"/>
      <c r="S39" s="206"/>
      <c r="T39" s="206"/>
      <c r="V39" s="211"/>
      <c r="W39" s="203"/>
    </row>
    <row r="40" spans="1:23" ht="12.5">
      <c r="A40" s="142"/>
      <c r="B40" s="142"/>
      <c r="C40" s="212" t="s">
        <v>675</v>
      </c>
      <c r="D40" s="142"/>
      <c r="E40" s="206"/>
      <c r="F40" s="206"/>
      <c r="G40" s="206"/>
      <c r="H40" s="142"/>
      <c r="I40" s="213"/>
      <c r="J40" s="214"/>
      <c r="K40" s="142"/>
      <c r="L40" s="142"/>
      <c r="M40" s="209"/>
      <c r="N40" s="209"/>
      <c r="O40" s="209"/>
      <c r="P40" s="209"/>
      <c r="Q40" s="209"/>
      <c r="R40" s="206"/>
      <c r="S40" s="206"/>
      <c r="T40" s="206"/>
    </row>
    <row r="41" spans="1:23" ht="12.5">
      <c r="A41" s="142"/>
      <c r="B41" s="142"/>
      <c r="C41" s="212"/>
      <c r="D41" s="142"/>
      <c r="E41" s="206"/>
      <c r="F41" s="206"/>
      <c r="G41" s="206"/>
      <c r="H41" s="142"/>
      <c r="I41" s="215"/>
      <c r="J41" s="216"/>
      <c r="K41" s="142"/>
      <c r="L41" s="142"/>
      <c r="M41" s="209"/>
      <c r="N41" s="209"/>
      <c r="O41" s="209"/>
      <c r="P41" s="209"/>
      <c r="Q41" s="217"/>
      <c r="R41" s="209"/>
      <c r="S41" s="142"/>
      <c r="T41" s="142"/>
    </row>
    <row r="42" spans="1:23" ht="12.5">
      <c r="E42" s="218"/>
      <c r="F42" s="218"/>
      <c r="G42" s="218"/>
      <c r="I42" s="138"/>
      <c r="J42" s="219"/>
      <c r="M42" s="220"/>
      <c r="N42" s="220"/>
      <c r="O42" s="220"/>
      <c r="P42" s="220"/>
      <c r="Q42" s="220"/>
      <c r="R42" s="220"/>
    </row>
  </sheetData>
  <mergeCells count="2">
    <mergeCell ref="E14:G14"/>
    <mergeCell ref="I14:K14"/>
  </mergeCells>
  <pageMargins left="0.5" right="0.5" top="1" bottom="1" header="0.65" footer="0.5"/>
  <pageSetup scale="48" fitToHeight="0" orientation="landscape" horizontalDpi="1200" verticalDpi="1200" r:id="rId1"/>
  <headerFooter alignWithMargins="0">
    <oddHeader xml:space="preserve">&amp;R&amp;16AEP - SPP Transco Formula Rate
Schedule 11 Revenue Requirements
AEP Oklahoma Transmission Company
Page: &amp;P of &amp;N
</oddHeader>
    <oddFooter>&amp;L&amp;A</oddFooter>
  </headerFooter>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81" zoomScaleNormal="81" zoomScaleSheetLayoutView="90" zoomScalePageLayoutView="90" workbookViewId="0">
      <selection activeCell="A3" sqref="A3:J3"/>
    </sheetView>
  </sheetViews>
  <sheetFormatPr defaultColWidth="11.453125" defaultRowHeight="12.5"/>
  <cols>
    <col min="1" max="1" width="1.7265625" style="1368" customWidth="1"/>
    <col min="2" max="2" width="6.1796875" style="730" customWidth="1"/>
    <col min="3" max="3" width="4" style="730" customWidth="1"/>
    <col min="4" max="4" width="35.26953125" style="730" customWidth="1"/>
    <col min="5" max="5" width="14.1796875" style="730" customWidth="1"/>
    <col min="6" max="6" width="20" style="730" bestFit="1" customWidth="1"/>
    <col min="7" max="7" width="18.453125" style="730" customWidth="1"/>
    <col min="8" max="8" width="10.81640625" style="730" customWidth="1"/>
    <col min="9" max="9" width="16" style="730" customWidth="1"/>
    <col min="10" max="10" width="13.7265625" style="730" customWidth="1"/>
    <col min="11" max="11" width="10.81640625" style="730" customWidth="1"/>
    <col min="12" max="12" width="14" style="730" customWidth="1"/>
    <col min="13" max="13" width="11.81640625" style="730" customWidth="1"/>
    <col min="14" max="14" width="14.453125" style="730" customWidth="1"/>
    <col min="15" max="15" width="13.453125" style="730" customWidth="1"/>
    <col min="16" max="16" width="13.7265625" style="730" customWidth="1"/>
    <col min="17" max="16384" width="11.453125" style="730"/>
  </cols>
  <sheetData>
    <row r="1" spans="1:15" ht="15.5">
      <c r="A1" s="422"/>
    </row>
    <row r="2" spans="1:15" ht="15.5">
      <c r="A2" s="1996" t="str">
        <f>+'OKT TCOS'!F4</f>
        <v xml:space="preserve">AEP West SPP Member Transmission Companies </v>
      </c>
      <c r="B2" s="1996"/>
      <c r="C2" s="1996"/>
      <c r="D2" s="1996"/>
      <c r="E2" s="1996"/>
      <c r="F2" s="1996"/>
      <c r="G2" s="1996"/>
      <c r="H2" s="1996"/>
      <c r="I2" s="1996"/>
      <c r="J2" s="1996"/>
    </row>
    <row r="3" spans="1:15" ht="15.5">
      <c r="A3" s="1990" t="str">
        <f>+'OKT WS A-1 - Plant'!A3</f>
        <v xml:space="preserve">Actual / Projected 2019 Rate Year Cost of Service Formula Rate </v>
      </c>
      <c r="B3" s="1990"/>
      <c r="C3" s="1990"/>
      <c r="D3" s="1990"/>
      <c r="E3" s="1990"/>
      <c r="F3" s="1990"/>
      <c r="G3" s="1990"/>
      <c r="H3" s="1990"/>
      <c r="I3" s="1990"/>
      <c r="J3" s="1990"/>
    </row>
    <row r="4" spans="1:15" ht="15.5">
      <c r="A4" s="1991" t="s">
        <v>900</v>
      </c>
      <c r="B4" s="1990"/>
      <c r="C4" s="1990"/>
      <c r="D4" s="1990"/>
      <c r="E4" s="1990"/>
      <c r="F4" s="1990"/>
      <c r="G4" s="1990"/>
      <c r="H4" s="1990"/>
      <c r="I4" s="1990"/>
      <c r="J4" s="1990"/>
    </row>
    <row r="5" spans="1:15" ht="15.5">
      <c r="A5" s="2025" t="str">
        <f>+'OKT TCOS'!F8</f>
        <v>AEP OKLAHOMA TRANSMISSION COMPANY, INC.</v>
      </c>
      <c r="B5" s="2025"/>
      <c r="C5" s="2025"/>
      <c r="D5" s="2025"/>
      <c r="E5" s="2025"/>
      <c r="F5" s="2025"/>
      <c r="G5" s="2025"/>
      <c r="H5" s="2025"/>
      <c r="I5" s="2025"/>
      <c r="J5" s="2025"/>
    </row>
    <row r="6" spans="1:15" ht="18">
      <c r="A6" s="943"/>
      <c r="B6" s="943"/>
      <c r="C6" s="943"/>
      <c r="D6" s="943"/>
      <c r="E6" s="943"/>
      <c r="F6" s="943"/>
      <c r="H6" s="943"/>
      <c r="I6" s="943"/>
      <c r="J6" s="943"/>
      <c r="K6" s="1378"/>
      <c r="L6" s="1378"/>
      <c r="M6" s="1378"/>
      <c r="N6" s="1378"/>
      <c r="O6" s="1378"/>
    </row>
    <row r="7" spans="1:15" ht="18">
      <c r="A7" s="943"/>
      <c r="B7" s="326"/>
      <c r="C7" s="326"/>
      <c r="D7" s="2044" t="s">
        <v>300</v>
      </c>
      <c r="E7" s="2044"/>
      <c r="F7" s="557" t="s">
        <v>301</v>
      </c>
      <c r="G7" s="557" t="s">
        <v>302</v>
      </c>
      <c r="H7" s="557" t="s">
        <v>303</v>
      </c>
      <c r="I7" s="557" t="s">
        <v>228</v>
      </c>
      <c r="J7" s="943"/>
      <c r="K7" s="1378"/>
      <c r="L7" s="1378"/>
      <c r="M7" s="1378"/>
      <c r="N7" s="1378"/>
      <c r="O7" s="1378"/>
    </row>
    <row r="8" spans="1:15" ht="46.5" customHeight="1">
      <c r="A8" s="943"/>
      <c r="B8" s="732" t="s">
        <v>307</v>
      </c>
      <c r="C8" s="326"/>
      <c r="D8" s="2043" t="s">
        <v>305</v>
      </c>
      <c r="E8" s="2043"/>
      <c r="F8" s="1382" t="s">
        <v>750</v>
      </c>
      <c r="G8" s="1382" t="s">
        <v>344</v>
      </c>
      <c r="H8" s="559" t="s">
        <v>763</v>
      </c>
      <c r="I8" s="559" t="str">
        <f>+'OKT TCOS'!N2&amp;" Amortization / (Deferral)"</f>
        <v>2019 Amortization / (Deferral)</v>
      </c>
      <c r="J8" s="943"/>
      <c r="K8" s="1378"/>
      <c r="L8" s="1378"/>
      <c r="M8" s="1378"/>
      <c r="N8" s="1378"/>
      <c r="O8" s="1378"/>
    </row>
    <row r="9" spans="1:15" ht="15.5">
      <c r="A9" s="326"/>
      <c r="B9" s="1383"/>
      <c r="C9" s="1097"/>
      <c r="D9" s="1384"/>
      <c r="E9" s="1385"/>
      <c r="F9" s="1386"/>
      <c r="G9" s="1386"/>
      <c r="H9" s="1386"/>
      <c r="I9" s="1386"/>
      <c r="J9" s="278"/>
    </row>
    <row r="10" spans="1:15" ht="15.5">
      <c r="A10" s="326"/>
      <c r="B10" s="1383">
        <v>1</v>
      </c>
      <c r="C10" s="326"/>
      <c r="D10" s="1387" t="s">
        <v>765</v>
      </c>
      <c r="E10" s="1385"/>
      <c r="F10" s="1386"/>
      <c r="G10" s="1386"/>
      <c r="H10" s="1386"/>
      <c r="I10" s="1386"/>
      <c r="J10" s="278"/>
    </row>
    <row r="11" spans="1:15" ht="15.5">
      <c r="A11" s="326"/>
      <c r="B11" s="1388" t="str">
        <f>+B$10&amp;"a"</f>
        <v>1a</v>
      </c>
      <c r="C11" s="326"/>
      <c r="D11" s="1389"/>
      <c r="E11" s="1390"/>
      <c r="F11" s="1391"/>
      <c r="G11" s="1391"/>
      <c r="H11" s="1392"/>
      <c r="I11" s="1393"/>
      <c r="J11" s="278"/>
    </row>
    <row r="12" spans="1:15" ht="15.5">
      <c r="A12" s="326"/>
      <c r="B12" s="1388" t="str">
        <f>+B$10&amp;"b"</f>
        <v>1b</v>
      </c>
      <c r="C12" s="326"/>
      <c r="D12" s="1389"/>
      <c r="E12" s="1390"/>
      <c r="F12" s="1391"/>
      <c r="G12" s="1391"/>
      <c r="H12" s="1394"/>
      <c r="I12" s="1393"/>
      <c r="J12" s="278"/>
    </row>
    <row r="13" spans="1:15" ht="15.5">
      <c r="A13" s="326"/>
      <c r="B13" s="1388" t="str">
        <f>+B$10&amp;"c"</f>
        <v>1c</v>
      </c>
      <c r="C13" s="326"/>
      <c r="D13" s="1389"/>
      <c r="E13" s="1390"/>
      <c r="F13" s="1391"/>
      <c r="G13" s="1391"/>
      <c r="H13" s="1392"/>
      <c r="I13" s="1393"/>
      <c r="J13" s="278"/>
    </row>
    <row r="14" spans="1:15" ht="15.5">
      <c r="A14" s="326"/>
      <c r="B14" s="1388" t="str">
        <f>+B$10&amp;"d"</f>
        <v>1d</v>
      </c>
      <c r="C14" s="326"/>
      <c r="D14" s="1389"/>
      <c r="E14" s="1390"/>
      <c r="F14" s="1391"/>
      <c r="G14" s="1391"/>
      <c r="H14" s="1392"/>
      <c r="I14" s="1393"/>
      <c r="J14" s="278"/>
    </row>
    <row r="15" spans="1:15" ht="15.5">
      <c r="A15" s="326"/>
      <c r="B15" s="1388" t="str">
        <f>+B$10&amp;"e"</f>
        <v>1e</v>
      </c>
      <c r="C15" s="326"/>
      <c r="D15" s="1389"/>
      <c r="E15" s="1390"/>
      <c r="F15" s="1391"/>
      <c r="G15" s="1391"/>
      <c r="H15" s="1392"/>
      <c r="I15" s="1393"/>
      <c r="J15" s="278"/>
    </row>
    <row r="16" spans="1:15" ht="15.5">
      <c r="A16" s="326"/>
      <c r="B16" s="1383">
        <f>+B10+1</f>
        <v>2</v>
      </c>
      <c r="C16" s="326"/>
      <c r="D16" s="1395" t="s">
        <v>751</v>
      </c>
      <c r="E16" s="1396"/>
      <c r="F16" s="1395"/>
      <c r="G16" s="1395"/>
      <c r="H16" s="1397"/>
      <c r="I16" s="1398">
        <f>+SUM(I11:I15)</f>
        <v>0</v>
      </c>
      <c r="J16" s="278"/>
    </row>
    <row r="17" spans="1:10" ht="15.5">
      <c r="A17" s="326"/>
      <c r="B17" s="1383"/>
      <c r="C17" s="326"/>
      <c r="D17" s="1384"/>
      <c r="E17" s="1385"/>
      <c r="F17" s="1384"/>
      <c r="G17" s="1384"/>
      <c r="H17" s="1399"/>
      <c r="I17" s="1400"/>
      <c r="J17" s="278"/>
    </row>
    <row r="18" spans="1:10" ht="15.5">
      <c r="A18" s="326"/>
      <c r="B18" s="1383">
        <f>+B16+1</f>
        <v>3</v>
      </c>
      <c r="C18" s="326"/>
      <c r="D18" s="1387" t="s">
        <v>766</v>
      </c>
      <c r="E18" s="1385"/>
      <c r="F18" s="1384"/>
      <c r="G18" s="1384"/>
      <c r="H18" s="1399"/>
      <c r="I18" s="1400"/>
      <c r="J18" s="278"/>
    </row>
    <row r="19" spans="1:10" ht="15.5">
      <c r="A19" s="326"/>
      <c r="B19" s="1388" t="str">
        <f>+B$18&amp;"a"</f>
        <v>3a</v>
      </c>
      <c r="C19" s="326"/>
      <c r="D19" s="1389"/>
      <c r="E19" s="1390"/>
      <c r="F19" s="1391"/>
      <c r="G19" s="1391"/>
      <c r="H19" s="1392"/>
      <c r="I19" s="1393"/>
      <c r="J19" s="278"/>
    </row>
    <row r="20" spans="1:10" ht="15.5">
      <c r="A20" s="326"/>
      <c r="B20" s="1388" t="str">
        <f>+B$18&amp;"b"</f>
        <v>3b</v>
      </c>
      <c r="C20" s="326"/>
      <c r="D20" s="1389"/>
      <c r="E20" s="1390"/>
      <c r="F20" s="1391"/>
      <c r="G20" s="1391"/>
      <c r="H20" s="1392"/>
      <c r="I20" s="1393"/>
      <c r="J20" s="278"/>
    </row>
    <row r="21" spans="1:10" ht="15.5">
      <c r="A21" s="326"/>
      <c r="B21" s="1388" t="str">
        <f>+B$18&amp;"c"</f>
        <v>3c</v>
      </c>
      <c r="C21" s="326"/>
      <c r="D21" s="1389"/>
      <c r="E21" s="1390"/>
      <c r="F21" s="1391"/>
      <c r="G21" s="1391"/>
      <c r="H21" s="1392"/>
      <c r="I21" s="1393"/>
      <c r="J21" s="278"/>
    </row>
    <row r="22" spans="1:10" ht="15.5">
      <c r="A22" s="326"/>
      <c r="B22" s="1388" t="str">
        <f>+B$18&amp;"d"</f>
        <v>3d</v>
      </c>
      <c r="C22" s="326"/>
      <c r="D22" s="1389"/>
      <c r="E22" s="1390"/>
      <c r="F22" s="1389"/>
      <c r="G22" s="1389"/>
      <c r="H22" s="1392"/>
      <c r="I22" s="1393"/>
      <c r="J22" s="278"/>
    </row>
    <row r="23" spans="1:10" ht="15.5">
      <c r="A23" s="326"/>
      <c r="B23" s="1383">
        <f>+B18+1</f>
        <v>4</v>
      </c>
      <c r="C23" s="326"/>
      <c r="D23" s="1395" t="s">
        <v>752</v>
      </c>
      <c r="E23" s="1396"/>
      <c r="F23" s="1395"/>
      <c r="G23" s="1395"/>
      <c r="H23" s="1397"/>
      <c r="I23" s="1398">
        <f>+SUM(I19:I22)</f>
        <v>0</v>
      </c>
      <c r="J23" s="278"/>
    </row>
    <row r="24" spans="1:10" ht="30" customHeight="1">
      <c r="A24" s="326"/>
      <c r="B24" s="1383"/>
      <c r="C24" s="326"/>
      <c r="D24" s="1384"/>
      <c r="E24" s="1385"/>
      <c r="F24" s="1384"/>
      <c r="G24" s="1384"/>
      <c r="H24" s="1399"/>
      <c r="I24" s="1400"/>
      <c r="J24" s="278"/>
    </row>
    <row r="25" spans="1:10" ht="15.5">
      <c r="A25" s="326"/>
      <c r="B25" s="1383">
        <f>+B23+1</f>
        <v>5</v>
      </c>
      <c r="C25" s="326"/>
      <c r="D25" s="1387" t="s">
        <v>768</v>
      </c>
      <c r="E25" s="1385"/>
      <c r="F25" s="1386"/>
      <c r="G25" s="1386"/>
      <c r="H25" s="1386"/>
      <c r="I25" s="1386"/>
      <c r="J25" s="278"/>
    </row>
    <row r="26" spans="1:10" ht="15.5">
      <c r="A26" s="326"/>
      <c r="B26" s="1388" t="str">
        <f>+B$25&amp;"a"</f>
        <v>5a</v>
      </c>
      <c r="C26" s="326"/>
      <c r="D26" s="1389"/>
      <c r="E26" s="1390"/>
      <c r="F26" s="1391"/>
      <c r="G26" s="1391"/>
      <c r="H26" s="1392"/>
      <c r="I26" s="1393"/>
      <c r="J26" s="278"/>
    </row>
    <row r="27" spans="1:10" ht="15.5">
      <c r="A27" s="326"/>
      <c r="B27" s="1388" t="str">
        <f>+B$25&amp;"b"</f>
        <v>5b</v>
      </c>
      <c r="C27" s="326"/>
      <c r="D27" s="1389"/>
      <c r="E27" s="1390"/>
      <c r="F27" s="1391"/>
      <c r="G27" s="1391"/>
      <c r="H27" s="1392"/>
      <c r="I27" s="1393"/>
      <c r="J27" s="278"/>
    </row>
    <row r="28" spans="1:10" ht="15.5">
      <c r="A28" s="326"/>
      <c r="B28" s="1383">
        <f>+B25+1</f>
        <v>6</v>
      </c>
      <c r="C28" s="326"/>
      <c r="D28" s="1395" t="s">
        <v>751</v>
      </c>
      <c r="E28" s="1396"/>
      <c r="F28" s="1395"/>
      <c r="G28" s="1395"/>
      <c r="H28" s="1397"/>
      <c r="I28" s="1398">
        <f>+SUM(I26:I27)</f>
        <v>0</v>
      </c>
      <c r="J28" s="278"/>
    </row>
    <row r="29" spans="1:10" ht="15.5">
      <c r="A29" s="326"/>
      <c r="B29" s="1383"/>
      <c r="C29" s="326"/>
      <c r="D29" s="1384"/>
      <c r="E29" s="1385"/>
      <c r="F29" s="1384"/>
      <c r="G29" s="1384"/>
      <c r="H29" s="1399"/>
      <c r="I29" s="1400"/>
      <c r="J29" s="278"/>
    </row>
    <row r="30" spans="1:10" ht="15.5">
      <c r="A30" s="326"/>
      <c r="B30" s="1383">
        <f>+B28+1</f>
        <v>7</v>
      </c>
      <c r="C30" s="326"/>
      <c r="D30" s="1387" t="s">
        <v>769</v>
      </c>
      <c r="E30" s="1385"/>
      <c r="F30" s="1384"/>
      <c r="G30" s="1384"/>
      <c r="H30" s="1399"/>
      <c r="I30" s="1400"/>
      <c r="J30" s="278"/>
    </row>
    <row r="31" spans="1:10" ht="15.5">
      <c r="A31" s="326"/>
      <c r="B31" s="1388" t="str">
        <f>+B$30&amp;"a"</f>
        <v>7a</v>
      </c>
      <c r="C31" s="326"/>
      <c r="D31" s="1389"/>
      <c r="E31" s="1390"/>
      <c r="F31" s="1391"/>
      <c r="G31" s="1391"/>
      <c r="H31" s="1392"/>
      <c r="I31" s="1393"/>
      <c r="J31" s="278"/>
    </row>
    <row r="32" spans="1:10" ht="15.5">
      <c r="A32" s="326"/>
      <c r="B32" s="1388" t="str">
        <f>+B$30&amp;"b"</f>
        <v>7b</v>
      </c>
      <c r="C32" s="326"/>
      <c r="D32" s="1389"/>
      <c r="E32" s="1390"/>
      <c r="F32" s="1389"/>
      <c r="G32" s="1389"/>
      <c r="H32" s="1392"/>
      <c r="I32" s="1393"/>
      <c r="J32" s="278"/>
    </row>
    <row r="33" spans="1:14" ht="15.5">
      <c r="A33" s="326"/>
      <c r="B33" s="1383">
        <f>+B30+1</f>
        <v>8</v>
      </c>
      <c r="C33" s="326"/>
      <c r="D33" s="1395" t="s">
        <v>752</v>
      </c>
      <c r="E33" s="1396"/>
      <c r="F33" s="1395"/>
      <c r="G33" s="1395"/>
      <c r="H33" s="1397"/>
      <c r="I33" s="1398">
        <f>+SUM(I31:I32)</f>
        <v>0</v>
      </c>
      <c r="J33" s="278"/>
    </row>
    <row r="34" spans="1:14" ht="15.5">
      <c r="A34" s="326"/>
      <c r="B34" s="326"/>
      <c r="C34" s="326"/>
      <c r="D34" s="1384"/>
      <c r="E34" s="1385"/>
      <c r="F34" s="1384"/>
      <c r="G34" s="1384"/>
      <c r="H34" s="1399"/>
      <c r="I34" s="1400"/>
      <c r="J34" s="278"/>
    </row>
    <row r="36" spans="1:14" ht="14">
      <c r="D36" s="1401" t="s">
        <v>773</v>
      </c>
      <c r="K36" s="1369"/>
      <c r="L36" s="1369"/>
      <c r="M36" s="1369"/>
      <c r="N36" s="1369"/>
    </row>
    <row r="37" spans="1:14" ht="12.75" hidden="1" customHeight="1">
      <c r="K37" s="685"/>
      <c r="L37" s="685"/>
      <c r="M37" s="685"/>
    </row>
    <row r="38" spans="1:14" ht="12.75" customHeight="1">
      <c r="D38" s="2044" t="s">
        <v>300</v>
      </c>
      <c r="E38" s="2044"/>
      <c r="F38" s="557" t="s">
        <v>301</v>
      </c>
      <c r="G38" s="557" t="s">
        <v>302</v>
      </c>
      <c r="H38" s="557" t="s">
        <v>303</v>
      </c>
      <c r="I38" s="557" t="s">
        <v>228</v>
      </c>
      <c r="J38" s="557" t="s">
        <v>229</v>
      </c>
      <c r="K38" s="557" t="s">
        <v>230</v>
      </c>
      <c r="L38" s="557" t="s">
        <v>235</v>
      </c>
      <c r="M38" s="557" t="s">
        <v>176</v>
      </c>
      <c r="N38" s="557" t="s">
        <v>73</v>
      </c>
    </row>
    <row r="39" spans="1:14" ht="43.5" customHeight="1">
      <c r="B39" s="1388">
        <f>+B33+1</f>
        <v>9</v>
      </c>
      <c r="D39" s="1402" t="s">
        <v>305</v>
      </c>
      <c r="E39" s="1403" t="s">
        <v>757</v>
      </c>
      <c r="F39" s="1403" t="s">
        <v>762</v>
      </c>
      <c r="G39" s="1403" t="s">
        <v>758</v>
      </c>
      <c r="H39" s="1403" t="s">
        <v>759</v>
      </c>
      <c r="I39" s="1404" t="str">
        <f>"Balance @ 12/31/"&amp;'OKT TCOS'!$N$2&amp;""</f>
        <v>Balance @ 12/31/2019</v>
      </c>
      <c r="J39" s="1404" t="str">
        <f>"Balance @ 12/31/"&amp;'OKT TCOS'!$N$2-1&amp;""</f>
        <v>Balance @ 12/31/2018</v>
      </c>
      <c r="K39" s="1405" t="s">
        <v>351</v>
      </c>
      <c r="L39" s="1405" t="s">
        <v>775</v>
      </c>
      <c r="M39" s="1405" t="s">
        <v>764</v>
      </c>
      <c r="N39" s="1405" t="s">
        <v>760</v>
      </c>
    </row>
    <row r="40" spans="1:14">
      <c r="B40" s="1388" t="str">
        <f>+B$33+1&amp;"a"</f>
        <v>9a</v>
      </c>
      <c r="D40" s="1389"/>
      <c r="E40" s="1391"/>
      <c r="F40" s="1391"/>
      <c r="G40" s="1406"/>
      <c r="H40" s="1407"/>
      <c r="I40" s="655"/>
      <c r="J40" s="1408"/>
      <c r="K40" s="1409">
        <f>+(I40+J40)/2</f>
        <v>0</v>
      </c>
      <c r="L40" s="1410"/>
      <c r="M40" s="1411"/>
      <c r="N40" s="1377">
        <f>+K40*M40</f>
        <v>0</v>
      </c>
    </row>
    <row r="41" spans="1:14">
      <c r="B41" s="1388" t="str">
        <f>+B$33+1&amp;"b"</f>
        <v>9b</v>
      </c>
      <c r="D41" s="1389"/>
      <c r="E41" s="1391"/>
      <c r="F41" s="1391"/>
      <c r="G41" s="1406"/>
      <c r="H41" s="1407"/>
      <c r="I41" s="655"/>
      <c r="J41" s="655"/>
      <c r="K41" s="1409">
        <f t="shared" ref="K41:K44" si="0">+(I41+J41)/2</f>
        <v>0</v>
      </c>
      <c r="L41" s="1410"/>
      <c r="M41" s="1411"/>
      <c r="N41" s="1377">
        <f t="shared" ref="N41:N44" si="1">+K41*M41</f>
        <v>0</v>
      </c>
    </row>
    <row r="42" spans="1:14">
      <c r="B42" s="1388" t="str">
        <f>+B$33+1&amp;"c"</f>
        <v>9c</v>
      </c>
      <c r="D42" s="1389"/>
      <c r="E42" s="1391"/>
      <c r="F42" s="1391"/>
      <c r="G42" s="1406"/>
      <c r="H42" s="1407"/>
      <c r="I42" s="655"/>
      <c r="J42" s="655"/>
      <c r="K42" s="1409">
        <f t="shared" si="0"/>
        <v>0</v>
      </c>
      <c r="L42" s="1410"/>
      <c r="M42" s="1412"/>
      <c r="N42" s="1377">
        <f t="shared" si="1"/>
        <v>0</v>
      </c>
    </row>
    <row r="43" spans="1:14">
      <c r="B43" s="1388" t="str">
        <f>+B$33+1&amp;"d"</f>
        <v>9d</v>
      </c>
      <c r="D43" s="1389"/>
      <c r="E43" s="1391"/>
      <c r="F43" s="1391"/>
      <c r="G43" s="1406"/>
      <c r="H43" s="1407"/>
      <c r="I43" s="655"/>
      <c r="J43" s="1408"/>
      <c r="K43" s="1409">
        <f t="shared" si="0"/>
        <v>0</v>
      </c>
      <c r="L43" s="1393"/>
      <c r="M43" s="1411"/>
      <c r="N43" s="1377">
        <f t="shared" si="1"/>
        <v>0</v>
      </c>
    </row>
    <row r="44" spans="1:14">
      <c r="B44" s="1388" t="str">
        <f>+B$33+1&amp;"e"</f>
        <v>9e</v>
      </c>
      <c r="D44" s="1389"/>
      <c r="E44" s="1391"/>
      <c r="F44" s="1391"/>
      <c r="G44" s="1406"/>
      <c r="H44" s="1407"/>
      <c r="I44" s="655"/>
      <c r="J44" s="1408"/>
      <c r="K44" s="1409">
        <f t="shared" si="0"/>
        <v>0</v>
      </c>
      <c r="L44" s="1393"/>
      <c r="M44" s="1411"/>
      <c r="N44" s="1377">
        <f t="shared" si="1"/>
        <v>0</v>
      </c>
    </row>
    <row r="45" spans="1:14">
      <c r="B45" s="1388">
        <f>+B39+1</f>
        <v>10</v>
      </c>
      <c r="D45" s="1380" t="s">
        <v>761</v>
      </c>
      <c r="E45" s="1380"/>
      <c r="F45" s="1380"/>
      <c r="G45" s="1380"/>
      <c r="H45" s="1380"/>
      <c r="I45" s="1413">
        <f>+SUM(I40:I44)</f>
        <v>0</v>
      </c>
      <c r="J45" s="1413">
        <f t="shared" ref="J45:K45" si="2">+SUM(J40:J44)</f>
        <v>0</v>
      </c>
      <c r="K45" s="1413">
        <f t="shared" si="2"/>
        <v>0</v>
      </c>
      <c r="L45" s="1380"/>
      <c r="M45" s="1380"/>
      <c r="N45" s="1413">
        <f>+SUM(N40:N44)</f>
        <v>0</v>
      </c>
    </row>
    <row r="46" spans="1:14">
      <c r="B46" s="1368"/>
    </row>
    <row r="47" spans="1:14" ht="18">
      <c r="A47" s="1095"/>
      <c r="B47" s="1414" t="s">
        <v>313</v>
      </c>
      <c r="C47" s="1414"/>
      <c r="D47" s="1414"/>
      <c r="E47" s="1414"/>
      <c r="F47" s="1414"/>
      <c r="G47" s="1414"/>
      <c r="H47" s="1414"/>
      <c r="I47" s="1414"/>
      <c r="J47" s="1095"/>
    </row>
    <row r="48" spans="1:14" ht="23.25" customHeight="1">
      <c r="A48" s="1095"/>
      <c r="B48" s="1415">
        <v>1</v>
      </c>
      <c r="C48" s="1416"/>
      <c r="D48" s="2076" t="s">
        <v>770</v>
      </c>
      <c r="E48" s="2076"/>
      <c r="F48" s="2076"/>
      <c r="G48" s="2076"/>
      <c r="H48" s="2076"/>
      <c r="I48" s="2076"/>
      <c r="J48" s="2076"/>
      <c r="K48" s="2076"/>
      <c r="L48" s="2076"/>
      <c r="M48" s="2076"/>
      <c r="N48" s="2076"/>
    </row>
    <row r="49" spans="1:15" ht="18">
      <c r="A49" s="1095"/>
      <c r="B49" s="1415">
        <v>2</v>
      </c>
      <c r="C49" s="1417"/>
      <c r="D49" s="2076" t="s">
        <v>882</v>
      </c>
      <c r="E49" s="2076"/>
      <c r="F49" s="2076"/>
      <c r="G49" s="2076"/>
      <c r="H49" s="2076"/>
      <c r="I49" s="2076"/>
      <c r="J49" s="2076"/>
      <c r="K49" s="2076"/>
      <c r="L49" s="2076"/>
      <c r="M49" s="2076"/>
      <c r="N49" s="2076"/>
      <c r="O49" s="279"/>
    </row>
    <row r="50" spans="1:15" ht="33" customHeight="1">
      <c r="A50" s="1095"/>
      <c r="B50" s="1415">
        <v>3</v>
      </c>
      <c r="C50" s="1418"/>
      <c r="D50" s="2076" t="s">
        <v>767</v>
      </c>
      <c r="E50" s="2076"/>
      <c r="F50" s="2076"/>
      <c r="G50" s="2076"/>
      <c r="H50" s="2076"/>
      <c r="I50" s="2076"/>
      <c r="J50" s="2076"/>
      <c r="K50" s="2076"/>
      <c r="L50" s="2076"/>
      <c r="M50" s="2076"/>
      <c r="N50" s="2076"/>
      <c r="O50" s="279"/>
    </row>
    <row r="51" spans="1:15" ht="18">
      <c r="A51" s="943"/>
      <c r="B51" s="1415">
        <v>4</v>
      </c>
      <c r="C51" s="943"/>
      <c r="D51" s="2076" t="s">
        <v>883</v>
      </c>
      <c r="E51" s="2076"/>
      <c r="F51" s="2076"/>
      <c r="G51" s="2076"/>
      <c r="H51" s="2076"/>
      <c r="I51" s="2076"/>
      <c r="J51" s="2076"/>
      <c r="K51" s="2076"/>
      <c r="L51" s="2076"/>
      <c r="M51" s="2076"/>
      <c r="N51" s="2076"/>
      <c r="O51" s="1378"/>
    </row>
    <row r="52" spans="1:15" ht="30.75" customHeight="1">
      <c r="B52" s="1415">
        <v>5</v>
      </c>
      <c r="C52" s="943"/>
      <c r="D52" s="2076" t="s">
        <v>777</v>
      </c>
      <c r="E52" s="2076"/>
      <c r="F52" s="2076"/>
      <c r="G52" s="2076"/>
      <c r="H52" s="2076"/>
      <c r="I52" s="2076"/>
      <c r="J52" s="2076"/>
      <c r="K52" s="2076"/>
      <c r="L52" s="2076"/>
      <c r="M52" s="2076"/>
      <c r="N52" s="2076"/>
    </row>
    <row r="53" spans="1:15" ht="18">
      <c r="B53" s="1415">
        <v>6</v>
      </c>
      <c r="C53" s="943"/>
      <c r="D53" s="2076" t="s">
        <v>776</v>
      </c>
      <c r="E53" s="2076"/>
      <c r="F53" s="2076"/>
      <c r="G53" s="2076"/>
      <c r="H53" s="2076"/>
      <c r="I53" s="2076"/>
      <c r="J53" s="2076"/>
      <c r="K53" s="2076"/>
      <c r="L53" s="2076"/>
      <c r="M53" s="2076"/>
      <c r="N53" s="2076"/>
    </row>
  </sheetData>
  <mergeCells count="13">
    <mergeCell ref="D53:N53"/>
    <mergeCell ref="D48:N48"/>
    <mergeCell ref="D49:N49"/>
    <mergeCell ref="D50:N50"/>
    <mergeCell ref="D51:N51"/>
    <mergeCell ref="D52:N52"/>
    <mergeCell ref="A2:J2"/>
    <mergeCell ref="A3:J3"/>
    <mergeCell ref="A4:J4"/>
    <mergeCell ref="A5:J5"/>
    <mergeCell ref="D38:E38"/>
    <mergeCell ref="D7:E7"/>
    <mergeCell ref="D8:E8"/>
  </mergeCells>
  <printOptions horizontalCentered="1"/>
  <pageMargins left="0.25" right="0.25" top="1" bottom="0" header="0.65" footer="0"/>
  <pageSetup scale="52" fitToHeight="2" orientation="portrait" horizontalDpi="1200" verticalDpi="1200" r:id="rId1"/>
  <headerFooter alignWithMargins="0">
    <oddHeader xml:space="preserve">&amp;R&amp;12AEP - SPP Transco Formula Rate
TCOS - WS S
Page: &amp;P of &amp;N&amp;16
</oddHeader>
    <oddFooter xml:space="preserve">&amp;R &amp;C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activeCell="B7" sqref="B7"/>
    </sheetView>
  </sheetViews>
  <sheetFormatPr defaultColWidth="9.1796875" defaultRowHeight="12.5"/>
  <cols>
    <col min="1" max="1" width="11.81640625" style="1420" customWidth="1"/>
    <col min="2" max="2" width="53.26953125" style="1420" customWidth="1"/>
    <col min="3" max="3" width="36.54296875" style="1420" customWidth="1"/>
    <col min="4" max="4" width="26.453125" style="1420" customWidth="1"/>
    <col min="5" max="16384" width="9.1796875" style="1420"/>
  </cols>
  <sheetData>
    <row r="1" spans="1:10" ht="15.5">
      <c r="A1" s="1419"/>
    </row>
    <row r="2" spans="1:10" ht="15.5">
      <c r="A2" s="2079" t="s">
        <v>619</v>
      </c>
      <c r="B2" s="2079"/>
      <c r="C2" s="2079"/>
      <c r="D2" s="1421"/>
      <c r="E2" s="1421"/>
      <c r="F2" s="1421"/>
      <c r="G2" s="1421"/>
      <c r="H2" s="1421"/>
      <c r="I2" s="1421"/>
      <c r="J2" s="1421"/>
    </row>
    <row r="3" spans="1:10" ht="15.5">
      <c r="A3" s="2080" t="s">
        <v>1094</v>
      </c>
      <c r="B3" s="2080"/>
      <c r="C3" s="2080"/>
      <c r="D3" s="1965"/>
      <c r="E3" s="1965"/>
      <c r="F3" s="1965"/>
      <c r="G3" s="1965"/>
      <c r="H3" s="1965"/>
      <c r="I3" s="1965"/>
      <c r="J3" s="1965"/>
    </row>
    <row r="4" spans="1:10" ht="15.5">
      <c r="A4" s="2081" t="s">
        <v>901</v>
      </c>
      <c r="B4" s="2081"/>
      <c r="C4" s="2081"/>
      <c r="D4" s="1422"/>
      <c r="E4" s="1422"/>
      <c r="F4" s="1422"/>
      <c r="G4" s="1422"/>
      <c r="H4" s="1422"/>
      <c r="I4" s="1422"/>
      <c r="J4" s="1422"/>
    </row>
    <row r="5" spans="1:10" ht="15.5">
      <c r="A5" s="2082" t="str">
        <f>+'OKT TCOS'!F8</f>
        <v>AEP OKLAHOMA TRANSMISSION COMPANY, INC.</v>
      </c>
      <c r="B5" s="2082"/>
      <c r="C5" s="2082"/>
      <c r="D5" s="1423"/>
      <c r="E5" s="1423"/>
      <c r="F5" s="1423"/>
      <c r="G5" s="1423"/>
      <c r="H5" s="1423"/>
      <c r="I5" s="1423"/>
      <c r="J5" s="1423"/>
    </row>
    <row r="8" spans="1:10" ht="15.5">
      <c r="A8" s="2083" t="s">
        <v>781</v>
      </c>
      <c r="B8" s="2083"/>
      <c r="C8" s="2083"/>
    </row>
    <row r="9" spans="1:10" ht="15.5">
      <c r="A9" s="2078"/>
      <c r="B9" s="2078"/>
      <c r="C9" s="2078"/>
    </row>
    <row r="10" spans="1:10" ht="15.5">
      <c r="A10" s="1424"/>
      <c r="B10" s="1424"/>
      <c r="C10" s="1424"/>
    </row>
    <row r="11" spans="1:10" ht="15.5">
      <c r="A11" s="1424"/>
      <c r="B11" s="1424"/>
      <c r="C11" s="1424"/>
    </row>
    <row r="12" spans="1:10" ht="15.5">
      <c r="A12" s="1425" t="s">
        <v>782</v>
      </c>
      <c r="B12" s="1419"/>
      <c r="C12" s="1426"/>
    </row>
    <row r="13" spans="1:10" ht="15.5">
      <c r="A13" s="1427"/>
      <c r="B13" s="1419"/>
      <c r="C13" s="1419"/>
    </row>
    <row r="14" spans="1:10" ht="15.5">
      <c r="A14" s="1428" t="s">
        <v>783</v>
      </c>
      <c r="B14" s="1429" t="s">
        <v>784</v>
      </c>
      <c r="C14" s="1428" t="s">
        <v>785</v>
      </c>
    </row>
    <row r="15" spans="1:10" ht="15.5">
      <c r="A15" s="1419"/>
      <c r="B15" s="1419"/>
      <c r="C15" s="1419"/>
    </row>
    <row r="16" spans="1:10" ht="15.5">
      <c r="A16" s="1430">
        <v>350.1</v>
      </c>
      <c r="B16" s="1419" t="s">
        <v>786</v>
      </c>
      <c r="C16" s="1431">
        <v>1.0699999999999999E-2</v>
      </c>
    </row>
    <row r="17" spans="1:3" ht="15.5">
      <c r="A17" s="1432">
        <v>352</v>
      </c>
      <c r="B17" s="1419" t="s">
        <v>787</v>
      </c>
      <c r="C17" s="1431">
        <v>2.0500000000000001E-2</v>
      </c>
    </row>
    <row r="18" spans="1:3" ht="15.5">
      <c r="A18" s="1432">
        <v>353</v>
      </c>
      <c r="B18" s="1419" t="s">
        <v>788</v>
      </c>
      <c r="C18" s="1431">
        <v>1.72E-2</v>
      </c>
    </row>
    <row r="19" spans="1:3" ht="15.5">
      <c r="A19" s="1432">
        <v>354</v>
      </c>
      <c r="B19" s="1419" t="s">
        <v>789</v>
      </c>
      <c r="C19" s="1431">
        <v>1.7299999999999999E-2</v>
      </c>
    </row>
    <row r="20" spans="1:3" ht="15.5">
      <c r="A20" s="1432">
        <v>355</v>
      </c>
      <c r="B20" s="1419" t="s">
        <v>790</v>
      </c>
      <c r="C20" s="1431">
        <v>3.9199999999999999E-2</v>
      </c>
    </row>
    <row r="21" spans="1:3" ht="15.5">
      <c r="A21" s="1432">
        <v>356</v>
      </c>
      <c r="B21" s="1419" t="s">
        <v>791</v>
      </c>
      <c r="C21" s="1431">
        <v>2.18E-2</v>
      </c>
    </row>
    <row r="22" spans="1:3" ht="15.5">
      <c r="A22" s="1432">
        <v>358</v>
      </c>
      <c r="B22" s="1419" t="s">
        <v>792</v>
      </c>
      <c r="C22" s="1431">
        <v>2.0899999999999998E-2</v>
      </c>
    </row>
    <row r="23" spans="1:3" ht="15.5">
      <c r="A23" s="1419"/>
      <c r="B23" s="1419"/>
      <c r="C23" s="1433"/>
    </row>
    <row r="24" spans="1:3" ht="15.5">
      <c r="A24" s="1419"/>
      <c r="B24" s="1419"/>
      <c r="C24" s="1419"/>
    </row>
    <row r="25" spans="1:3" ht="15.5">
      <c r="A25" s="1425" t="s">
        <v>793</v>
      </c>
      <c r="B25" s="1419"/>
      <c r="C25" s="1419"/>
    </row>
    <row r="26" spans="1:3" ht="15.5">
      <c r="A26" s="1425"/>
      <c r="B26" s="1419"/>
      <c r="C26" s="1419"/>
    </row>
    <row r="27" spans="1:3" ht="15.5">
      <c r="A27" s="1428" t="s">
        <v>783</v>
      </c>
      <c r="B27" s="1429" t="s">
        <v>784</v>
      </c>
      <c r="C27" s="1428" t="s">
        <v>785</v>
      </c>
    </row>
    <row r="28" spans="1:3" ht="15.5">
      <c r="A28" s="1419"/>
      <c r="B28" s="1419"/>
      <c r="C28" s="1419"/>
    </row>
    <row r="29" spans="1:3" ht="15.5">
      <c r="A29" s="1432">
        <v>390</v>
      </c>
      <c r="B29" s="1419" t="s">
        <v>787</v>
      </c>
      <c r="C29" s="1431">
        <v>1.7600000000000001E-2</v>
      </c>
    </row>
    <row r="30" spans="1:3" ht="15.5">
      <c r="A30" s="1432">
        <v>391</v>
      </c>
      <c r="B30" s="1419" t="s">
        <v>794</v>
      </c>
      <c r="C30" s="1431">
        <v>2.4400000000000002E-2</v>
      </c>
    </row>
    <row r="31" spans="1:3" ht="15.5">
      <c r="A31" s="1434">
        <v>391.11</v>
      </c>
      <c r="B31" s="1419" t="s">
        <v>795</v>
      </c>
      <c r="C31" s="1431">
        <v>0.2</v>
      </c>
    </row>
    <row r="32" spans="1:3" ht="15.5">
      <c r="A32" s="1432">
        <v>392</v>
      </c>
      <c r="B32" s="1419" t="s">
        <v>796</v>
      </c>
      <c r="C32" s="1431">
        <v>6.6699999999999995E-2</v>
      </c>
    </row>
    <row r="33" spans="1:3" ht="15.5">
      <c r="A33" s="1432">
        <v>393</v>
      </c>
      <c r="B33" s="1419" t="s">
        <v>797</v>
      </c>
      <c r="C33" s="1431">
        <v>3.3300000000000003E-2</v>
      </c>
    </row>
    <row r="34" spans="1:3" ht="15.5">
      <c r="A34" s="1432">
        <v>394</v>
      </c>
      <c r="B34" s="1419" t="s">
        <v>798</v>
      </c>
      <c r="C34" s="1431">
        <v>0.04</v>
      </c>
    </row>
    <row r="35" spans="1:3" ht="15.5">
      <c r="A35" s="1432">
        <v>395</v>
      </c>
      <c r="B35" s="1419" t="s">
        <v>799</v>
      </c>
      <c r="C35" s="1431">
        <v>1.9400000000000001E-2</v>
      </c>
    </row>
    <row r="36" spans="1:3" ht="15.5">
      <c r="A36" s="1432">
        <v>396</v>
      </c>
      <c r="B36" s="1419" t="s">
        <v>800</v>
      </c>
      <c r="C36" s="1431">
        <v>4.24E-2</v>
      </c>
    </row>
    <row r="37" spans="1:3" ht="15.5">
      <c r="A37" s="1432">
        <v>397</v>
      </c>
      <c r="B37" s="1419" t="s">
        <v>801</v>
      </c>
      <c r="C37" s="1431">
        <v>4.5400000000000003E-2</v>
      </c>
    </row>
    <row r="38" spans="1:3" ht="15.5">
      <c r="A38" s="1434">
        <v>397.16</v>
      </c>
      <c r="B38" s="1419" t="s">
        <v>802</v>
      </c>
      <c r="C38" s="1431">
        <v>6.6699999999999995E-2</v>
      </c>
    </row>
    <row r="39" spans="1:3" ht="15.5">
      <c r="A39" s="1432">
        <v>398</v>
      </c>
      <c r="B39" s="1419" t="s">
        <v>803</v>
      </c>
      <c r="C39" s="1431">
        <v>0.05</v>
      </c>
    </row>
    <row r="40" spans="1:3" ht="15.5">
      <c r="A40" s="1432">
        <v>399.3</v>
      </c>
      <c r="B40" s="1419" t="s">
        <v>804</v>
      </c>
      <c r="C40" s="1431">
        <v>2.5000000000000001E-2</v>
      </c>
    </row>
    <row r="42" spans="1:3" ht="15.5">
      <c r="A42" s="1419"/>
    </row>
    <row r="43" spans="1:3" ht="15.5">
      <c r="A43" s="1425" t="s">
        <v>919</v>
      </c>
      <c r="C43" s="1431"/>
    </row>
    <row r="45" spans="1:3" ht="15.5">
      <c r="A45" s="1428" t="s">
        <v>783</v>
      </c>
      <c r="B45" s="1429" t="s">
        <v>784</v>
      </c>
      <c r="C45" s="1428" t="s">
        <v>785</v>
      </c>
    </row>
    <row r="46" spans="1:3" ht="15.5">
      <c r="A46" s="1419"/>
      <c r="B46" s="1419"/>
      <c r="C46" s="1419"/>
    </row>
    <row r="47" spans="1:3" ht="15.5">
      <c r="A47" s="1432">
        <v>303</v>
      </c>
      <c r="B47" s="1419" t="s">
        <v>921</v>
      </c>
      <c r="C47" s="1431">
        <v>0.1</v>
      </c>
    </row>
    <row r="49" spans="1:3" ht="30.75" customHeight="1">
      <c r="A49" s="2077" t="s">
        <v>920</v>
      </c>
      <c r="B49" s="2077"/>
      <c r="C49" s="2077"/>
    </row>
  </sheetData>
  <mergeCells count="7">
    <mergeCell ref="A49:C49"/>
    <mergeCell ref="A9:C9"/>
    <mergeCell ref="A2:C2"/>
    <mergeCell ref="A3:C3"/>
    <mergeCell ref="A4:C4"/>
    <mergeCell ref="A5:C5"/>
    <mergeCell ref="A8:C8"/>
  </mergeCells>
  <pageMargins left="0.7" right="0.7" top="0.75" bottom="0.75" header="0.3" footer="0.3"/>
  <pageSetup scale="86" orientation="portrait" r:id="rId1"/>
  <headerFooter>
    <oddHeader xml:space="preserve">&amp;RAEP - SPP Transco Formula Rate
TCOS - WS T
Page: &amp;P of &amp;N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U521"/>
  <sheetViews>
    <sheetView topLeftCell="A175" zoomScale="60" zoomScaleNormal="60" zoomScaleSheetLayoutView="75" zoomScalePageLayoutView="70" workbookViewId="0">
      <selection activeCell="L185" sqref="L185"/>
    </sheetView>
  </sheetViews>
  <sheetFormatPr defaultColWidth="11.453125" defaultRowHeight="15.5"/>
  <cols>
    <col min="1" max="1" width="4.7265625" style="53" customWidth="1"/>
    <col min="2" max="2" width="7.81640625" style="52" customWidth="1"/>
    <col min="3" max="3" width="1.81640625" style="53" customWidth="1"/>
    <col min="4" max="4" width="63.26953125" style="53" customWidth="1"/>
    <col min="5" max="5" width="37.26953125" style="53" customWidth="1"/>
    <col min="6" max="6" width="26.1796875" style="53" customWidth="1"/>
    <col min="7" max="7" width="20.7265625" style="53" customWidth="1"/>
    <col min="8" max="8" width="18.81640625" style="53" customWidth="1"/>
    <col min="9" max="9" width="9.81640625" style="53" customWidth="1"/>
    <col min="10" max="10" width="21.81640625" style="53" bestFit="1" customWidth="1"/>
    <col min="11" max="11" width="4.7265625" style="53" customWidth="1"/>
    <col min="12" max="12" width="28.1796875" style="53" customWidth="1"/>
    <col min="13" max="13" width="19.453125" style="53" customWidth="1"/>
    <col min="14" max="14" width="12.81640625" style="53" customWidth="1"/>
    <col min="15" max="15" width="3.1796875" style="53" customWidth="1"/>
    <col min="16" max="16" width="21.81640625" style="53" customWidth="1"/>
    <col min="17" max="17" width="11.453125" style="53" customWidth="1"/>
    <col min="18" max="18" width="20.54296875" style="53" bestFit="1" customWidth="1"/>
    <col min="19" max="16384" width="11.453125" style="53"/>
  </cols>
  <sheetData>
    <row r="2" spans="2:16">
      <c r="D2" s="272"/>
      <c r="E2" s="273"/>
      <c r="F2" s="273"/>
      <c r="G2" s="274"/>
      <c r="I2" s="275"/>
      <c r="J2" s="275"/>
      <c r="K2" s="275"/>
      <c r="N2" s="1435">
        <f>+'OKT TCOS'!N2</f>
        <v>2019</v>
      </c>
      <c r="P2" s="53" t="s">
        <v>417</v>
      </c>
    </row>
    <row r="3" spans="2:16">
      <c r="N3" s="277"/>
    </row>
    <row r="4" spans="2:16">
      <c r="D4" s="57"/>
      <c r="E4" s="57"/>
      <c r="F4" s="58" t="s">
        <v>930</v>
      </c>
      <c r="G4" s="278"/>
      <c r="H4" s="278"/>
      <c r="J4" s="57"/>
      <c r="K4" s="60"/>
      <c r="L4" s="60"/>
      <c r="M4" s="55"/>
    </row>
    <row r="5" spans="2:16">
      <c r="D5" s="57"/>
      <c r="E5" s="61"/>
      <c r="F5" s="58" t="s">
        <v>50</v>
      </c>
      <c r="G5" s="278"/>
      <c r="H5" s="278"/>
      <c r="J5" s="61"/>
      <c r="K5" s="60"/>
      <c r="L5" s="60"/>
      <c r="M5" s="55"/>
    </row>
    <row r="6" spans="2:16">
      <c r="D6" s="60"/>
      <c r="E6" s="60"/>
      <c r="F6" s="111" t="str">
        <f>"Utilizing Actual / Projected Cost Data for the "&amp;N2&amp;" Rate Year"</f>
        <v>Utilizing Actual / Projected Cost Data for the 2019 Rate Year</v>
      </c>
      <c r="G6" s="278"/>
      <c r="H6" s="278"/>
      <c r="J6" s="60"/>
      <c r="K6" s="60"/>
      <c r="L6" s="60"/>
      <c r="M6" s="55"/>
    </row>
    <row r="7" spans="2:16">
      <c r="B7" s="64"/>
      <c r="C7" s="65"/>
      <c r="D7" s="60"/>
      <c r="H7" s="66"/>
      <c r="I7" s="66"/>
      <c r="J7" s="66"/>
      <c r="K7" s="66"/>
      <c r="L7" s="60"/>
      <c r="M7" s="60"/>
    </row>
    <row r="8" spans="2:16">
      <c r="B8" s="64"/>
      <c r="C8" s="65"/>
      <c r="D8" s="279"/>
      <c r="E8" s="60"/>
      <c r="F8" s="280" t="s">
        <v>937</v>
      </c>
      <c r="G8" s="68"/>
      <c r="H8" s="60"/>
      <c r="I8" s="60"/>
      <c r="J8" s="60"/>
      <c r="K8" s="60"/>
      <c r="L8" s="279"/>
      <c r="M8" s="279"/>
      <c r="N8" s="279"/>
    </row>
    <row r="9" spans="2:16">
      <c r="B9" s="64"/>
      <c r="C9" s="65"/>
      <c r="D9" s="60"/>
      <c r="E9" s="60"/>
      <c r="F9" s="281"/>
      <c r="G9" s="68"/>
      <c r="H9" s="60"/>
      <c r="I9" s="60"/>
      <c r="J9" s="60"/>
      <c r="K9" s="60"/>
      <c r="L9" s="279"/>
      <c r="M9" s="279"/>
      <c r="N9" s="279"/>
    </row>
    <row r="10" spans="2:16">
      <c r="B10" s="64" t="s">
        <v>307</v>
      </c>
      <c r="C10" s="65"/>
      <c r="D10" s="60"/>
      <c r="E10" s="60"/>
      <c r="F10" s="60"/>
      <c r="G10" s="68"/>
      <c r="H10" s="60"/>
      <c r="I10" s="60"/>
      <c r="J10" s="60"/>
      <c r="K10" s="60"/>
      <c r="L10" s="65" t="s">
        <v>254</v>
      </c>
      <c r="M10" s="279"/>
      <c r="N10" s="279"/>
    </row>
    <row r="11" spans="2:16" ht="16" thickBot="1">
      <c r="B11" s="73" t="s">
        <v>256</v>
      </c>
      <c r="C11" s="74"/>
      <c r="D11" s="60"/>
      <c r="E11" s="74"/>
      <c r="F11" s="60"/>
      <c r="G11" s="60"/>
      <c r="H11" s="60"/>
      <c r="I11" s="60"/>
      <c r="J11" s="60"/>
      <c r="K11" s="60"/>
      <c r="L11" s="282" t="s">
        <v>308</v>
      </c>
      <c r="M11" s="279"/>
      <c r="N11" s="279"/>
    </row>
    <row r="12" spans="2:16">
      <c r="B12" s="64">
        <v>1</v>
      </c>
      <c r="C12" s="65"/>
      <c r="D12" s="283" t="s">
        <v>250</v>
      </c>
      <c r="E12" s="60" t="str">
        <f>"(ln "&amp;B193&amp;")"</f>
        <v>(ln 117)</v>
      </c>
      <c r="F12" s="60"/>
      <c r="G12" s="284"/>
      <c r="H12" s="285"/>
      <c r="I12" s="60"/>
      <c r="J12" s="60"/>
      <c r="K12" s="60"/>
      <c r="L12" s="81">
        <f>+L193</f>
        <v>100832.38796693773</v>
      </c>
      <c r="M12" s="279"/>
      <c r="N12" s="279"/>
    </row>
    <row r="13" spans="2:16" ht="16" thickBot="1">
      <c r="B13" s="64"/>
      <c r="C13" s="65"/>
      <c r="E13" s="286"/>
      <c r="F13" s="61"/>
      <c r="G13" s="282" t="s">
        <v>257</v>
      </c>
      <c r="H13" s="61"/>
      <c r="I13" s="287" t="s">
        <v>258</v>
      </c>
      <c r="J13" s="287"/>
      <c r="K13" s="60"/>
      <c r="L13" s="284"/>
      <c r="M13" s="279"/>
      <c r="N13" s="279"/>
    </row>
    <row r="14" spans="2:16">
      <c r="B14" s="64">
        <f>+B12+1</f>
        <v>2</v>
      </c>
      <c r="C14" s="65"/>
      <c r="D14" s="288" t="s">
        <v>306</v>
      </c>
      <c r="E14" s="286" t="s">
        <v>599</v>
      </c>
      <c r="F14" s="61"/>
      <c r="G14" s="289">
        <f>+'SWT WS H Rev Credits'!M52</f>
        <v>696.15000000000873</v>
      </c>
      <c r="H14" s="61"/>
      <c r="I14" s="290" t="s">
        <v>268</v>
      </c>
      <c r="J14" s="291">
        <v>1</v>
      </c>
      <c r="K14" s="61"/>
      <c r="L14" s="292">
        <f>+J14*G14</f>
        <v>696.15000000000873</v>
      </c>
      <c r="M14" s="279"/>
      <c r="N14" s="279"/>
    </row>
    <row r="15" spans="2:16">
      <c r="B15" s="64"/>
      <c r="C15" s="65"/>
      <c r="D15" s="288"/>
      <c r="E15" s="286"/>
      <c r="F15" s="61"/>
      <c r="G15" s="289"/>
      <c r="H15" s="61"/>
      <c r="I15" s="290"/>
      <c r="J15" s="291"/>
      <c r="K15" s="61"/>
      <c r="L15" s="292"/>
      <c r="M15" s="279"/>
      <c r="N15" s="279"/>
    </row>
    <row r="16" spans="2:16">
      <c r="B16" s="64">
        <f>+B14+1</f>
        <v>3</v>
      </c>
      <c r="C16" s="65"/>
      <c r="D16" s="283" t="s">
        <v>530</v>
      </c>
      <c r="E16" s="286" t="s">
        <v>622</v>
      </c>
      <c r="F16" s="61"/>
      <c r="G16" s="293"/>
      <c r="H16" s="61"/>
      <c r="I16" s="290"/>
      <c r="J16" s="291"/>
      <c r="K16" s="60"/>
      <c r="L16" s="293">
        <f>+'SWT WS B - Facility credits'!D9</f>
        <v>0</v>
      </c>
      <c r="M16" s="279"/>
      <c r="N16" s="279"/>
    </row>
    <row r="17" spans="2:14">
      <c r="B17" s="64"/>
      <c r="C17" s="65"/>
      <c r="E17" s="286"/>
      <c r="F17" s="61"/>
      <c r="G17" s="74"/>
      <c r="H17" s="61"/>
      <c r="I17" s="294"/>
      <c r="J17" s="294"/>
      <c r="K17" s="60"/>
      <c r="L17" s="284"/>
      <c r="M17" s="279"/>
      <c r="N17" s="279"/>
    </row>
    <row r="18" spans="2:14" ht="16" thickBot="1">
      <c r="B18" s="64">
        <f>+B16+1</f>
        <v>4</v>
      </c>
      <c r="C18" s="65"/>
      <c r="D18" s="295" t="s">
        <v>33</v>
      </c>
      <c r="E18" s="286" t="str">
        <f>"(ln "&amp;B12&amp;" less ln "&amp;B14&amp;" plus ln " &amp;B16&amp;")"</f>
        <v>(ln 1 less ln 2 plus ln 3)</v>
      </c>
      <c r="F18" s="60"/>
      <c r="H18" s="61"/>
      <c r="I18" s="290"/>
      <c r="J18" s="61"/>
      <c r="K18" s="61"/>
      <c r="L18" s="296">
        <f>+L12-L14+L16</f>
        <v>100136.23796693773</v>
      </c>
      <c r="M18" s="279"/>
      <c r="N18" s="279"/>
    </row>
    <row r="19" spans="2:14" ht="16" thickTop="1">
      <c r="B19" s="64"/>
      <c r="C19" s="65"/>
      <c r="D19" s="288"/>
      <c r="E19" s="286"/>
      <c r="F19" s="60"/>
      <c r="H19" s="61"/>
      <c r="I19" s="290"/>
      <c r="J19" s="61"/>
      <c r="K19" s="61"/>
      <c r="L19" s="297"/>
      <c r="M19" s="279"/>
      <c r="N19" s="279"/>
    </row>
    <row r="20" spans="2:14" ht="15" customHeight="1">
      <c r="B20" s="1976" t="str">
        <f>"MEMO:  The Carrying Charge Calculations on lines "&amp;B26&amp;" to "&amp;B33&amp;" below are used in calculating project revenue requirements billed through SPP Schedule 11.  The total non-incentive revenue requirement for these projects shown on line "&amp;B23&amp;" is included in the total on line "&amp;B18&amp;"."</f>
        <v>MEMO:  The Carrying Charge Calculations on lines 7 to 12 below are used in calculating project revenue requirements billed through SPP Schedule 11.  The total non-incentive revenue requirement for these projects shown on line 5 is included in the total on line 4.</v>
      </c>
      <c r="C20" s="1976"/>
      <c r="D20" s="1976"/>
      <c r="E20" s="1976"/>
      <c r="F20" s="1976"/>
      <c r="G20" s="1976"/>
      <c r="H20" s="1976"/>
      <c r="I20" s="1976"/>
      <c r="J20" s="279"/>
      <c r="M20" s="279"/>
      <c r="N20" s="279"/>
    </row>
    <row r="21" spans="2:14" ht="18.75" customHeight="1">
      <c r="B21" s="1976"/>
      <c r="C21" s="1976"/>
      <c r="D21" s="1976"/>
      <c r="E21" s="1976"/>
      <c r="F21" s="1976"/>
      <c r="G21" s="1976"/>
      <c r="H21" s="1976"/>
      <c r="I21" s="1976"/>
      <c r="J21" s="279"/>
      <c r="K21" s="279"/>
      <c r="L21" s="279"/>
      <c r="M21" s="279"/>
      <c r="N21" s="279"/>
    </row>
    <row r="22" spans="2:14" ht="15" customHeight="1">
      <c r="B22" s="298"/>
      <c r="C22" s="298"/>
      <c r="D22" s="298"/>
      <c r="E22" s="298"/>
      <c r="F22" s="298"/>
      <c r="G22" s="298"/>
      <c r="H22" s="298"/>
      <c r="I22" s="298"/>
      <c r="M22" s="279"/>
      <c r="N22" s="279"/>
    </row>
    <row r="23" spans="2:14">
      <c r="B23" s="64">
        <f>+B18+1</f>
        <v>5</v>
      </c>
      <c r="C23" s="65"/>
      <c r="D23" s="1985" t="s">
        <v>623</v>
      </c>
      <c r="E23" s="1986"/>
      <c r="F23" s="61"/>
      <c r="G23" s="299">
        <f>+'SWT WS F BPU ATRR'!L19</f>
        <v>0</v>
      </c>
      <c r="H23" s="61"/>
      <c r="I23" s="290" t="s">
        <v>268</v>
      </c>
      <c r="J23" s="291">
        <v>1</v>
      </c>
      <c r="K23" s="60"/>
      <c r="L23" s="297">
        <f>+J23*G23</f>
        <v>0</v>
      </c>
      <c r="M23" s="279"/>
      <c r="N23" s="279"/>
    </row>
    <row r="24" spans="2:14">
      <c r="B24" s="64"/>
      <c r="C24" s="65"/>
      <c r="D24" s="1986"/>
      <c r="E24" s="1986"/>
      <c r="F24" s="61"/>
      <c r="G24" s="299"/>
      <c r="H24" s="61"/>
      <c r="I24" s="61"/>
      <c r="J24" s="291"/>
      <c r="K24" s="60"/>
      <c r="L24" s="297"/>
      <c r="M24" s="279"/>
      <c r="N24" s="279"/>
    </row>
    <row r="25" spans="2:14">
      <c r="B25" s="64">
        <f>+B23+1</f>
        <v>6</v>
      </c>
      <c r="C25" s="65"/>
      <c r="D25" s="288" t="s">
        <v>34</v>
      </c>
      <c r="E25" s="286"/>
      <c r="F25" s="60"/>
      <c r="G25" s="300"/>
      <c r="H25" s="60"/>
      <c r="J25" s="60"/>
      <c r="K25" s="60"/>
      <c r="M25" s="279"/>
      <c r="N25" s="279"/>
    </row>
    <row r="26" spans="2:14">
      <c r="B26" s="64">
        <f>B25+1</f>
        <v>7</v>
      </c>
      <c r="C26" s="65"/>
      <c r="D26" s="57" t="s">
        <v>367</v>
      </c>
      <c r="E26" s="60" t="str">
        <f>"(ln "&amp;B12&amp;"/ ln "&amp;B79&amp;" x 100%)"</f>
        <v>(ln 1/ ln 37 x 100%)</v>
      </c>
      <c r="F26" s="65"/>
      <c r="G26" s="65"/>
      <c r="H26" s="65"/>
      <c r="I26" s="301"/>
      <c r="J26" s="301"/>
      <c r="K26" s="301"/>
      <c r="L26" s="302">
        <f>IF(L79=0,0,(L12)/L79)</f>
        <v>131082104357.01906</v>
      </c>
      <c r="M26" s="279"/>
      <c r="N26" s="279"/>
    </row>
    <row r="27" spans="2:14">
      <c r="B27" s="64">
        <f>B26+1</f>
        <v>8</v>
      </c>
      <c r="C27" s="65"/>
      <c r="D27" s="57" t="s">
        <v>368</v>
      </c>
      <c r="E27" s="60" t="str">
        <f>"(ln "&amp;B26&amp;" / 12)"</f>
        <v>(ln 7 / 12)</v>
      </c>
      <c r="F27" s="65"/>
      <c r="G27" s="65"/>
      <c r="H27" s="65"/>
      <c r="I27" s="301"/>
      <c r="J27" s="301"/>
      <c r="K27" s="301"/>
      <c r="L27" s="303">
        <f>L26/12</f>
        <v>10923508696.418255</v>
      </c>
      <c r="M27" s="279"/>
      <c r="N27" s="279"/>
    </row>
    <row r="28" spans="2:14">
      <c r="B28" s="64"/>
      <c r="C28" s="65"/>
      <c r="D28" s="57"/>
      <c r="E28" s="60"/>
      <c r="F28" s="65"/>
      <c r="G28" s="65"/>
      <c r="H28" s="65"/>
      <c r="I28" s="301"/>
      <c r="J28" s="301"/>
      <c r="K28" s="301"/>
      <c r="L28" s="303"/>
      <c r="M28" s="279"/>
      <c r="N28" s="279"/>
    </row>
    <row r="29" spans="2:14">
      <c r="B29" s="64">
        <f>B27+1</f>
        <v>9</v>
      </c>
      <c r="C29" s="65"/>
      <c r="D29" s="288" t="str">
        <f>"NET PLANT CARRYING CHARGE ON LINE "&amp;B26&amp;" , W/O DEPRECIATION (w/o incentives) (Note B)"</f>
        <v>NET PLANT CARRYING CHARGE ON LINE 7 , W/O DEPRECIATION (w/o incentives) (Note B)</v>
      </c>
      <c r="E29" s="60"/>
      <c r="F29" s="65"/>
      <c r="G29" s="65"/>
      <c r="H29" s="65"/>
      <c r="I29" s="301"/>
      <c r="J29" s="301"/>
      <c r="K29" s="301"/>
      <c r="L29" s="303"/>
      <c r="M29" s="279"/>
      <c r="N29" s="279"/>
    </row>
    <row r="30" spans="2:14">
      <c r="B30" s="64">
        <f>B29+1</f>
        <v>10</v>
      </c>
      <c r="C30" s="65"/>
      <c r="D30" s="57" t="s">
        <v>367</v>
      </c>
      <c r="E30" s="60" t="str">
        <f>"( (ln "&amp;B12&amp;" - ln "&amp;B153&amp;") / ln "&amp;B79&amp;" x 100%)"</f>
        <v>( (ln 1 - ln 86) / ln 37 x 100%)</v>
      </c>
      <c r="F30" s="65"/>
      <c r="G30" s="65"/>
      <c r="H30" s="65"/>
      <c r="I30" s="301"/>
      <c r="J30" s="301"/>
      <c r="K30" s="301"/>
      <c r="L30" s="302">
        <f>IF(L79=0,0,(L12-L153)/L79)</f>
        <v>131082104357.01906</v>
      </c>
      <c r="M30" s="279"/>
      <c r="N30" s="279"/>
    </row>
    <row r="31" spans="2:14">
      <c r="B31" s="64"/>
      <c r="C31" s="65"/>
      <c r="D31" s="57"/>
      <c r="E31" s="60"/>
      <c r="F31" s="65"/>
      <c r="G31" s="65"/>
      <c r="H31" s="65"/>
      <c r="I31" s="301"/>
      <c r="J31" s="301"/>
      <c r="K31" s="301"/>
      <c r="L31" s="303"/>
      <c r="M31" s="279"/>
      <c r="N31" s="279"/>
    </row>
    <row r="32" spans="2:14">
      <c r="B32" s="64">
        <f>B30+1</f>
        <v>11</v>
      </c>
      <c r="C32" s="65"/>
      <c r="D32" s="288" t="str">
        <f>"NET PLANT CARRYING CHARGE ON LINE "&amp;B29&amp;", W/O  INCOME TAXES, RETURN  (Note B)"</f>
        <v>NET PLANT CARRYING CHARGE ON LINE 9, W/O  INCOME TAXES, RETURN  (Note B)</v>
      </c>
      <c r="E32" s="60"/>
      <c r="F32" s="65"/>
      <c r="G32" s="65"/>
      <c r="H32" s="65"/>
      <c r="I32" s="301"/>
      <c r="J32" s="301"/>
      <c r="K32" s="301"/>
      <c r="L32" s="302"/>
      <c r="M32" s="279"/>
      <c r="N32" s="279"/>
    </row>
    <row r="33" spans="2:16">
      <c r="B33" s="64">
        <f>B32+1</f>
        <v>12</v>
      </c>
      <c r="C33" s="65"/>
      <c r="D33" s="57" t="s">
        <v>367</v>
      </c>
      <c r="E33" s="60" t="str">
        <f>"( (ln "&amp;B12&amp;" - ln "&amp;B153&amp;" - ln "&amp;B182&amp;" - ln "&amp;B184&amp;") / ln "&amp;B79&amp;" x 100%)"</f>
        <v>( (ln 1 - ln 86 - ln 111 - ln 112) / ln 37 x 100%)</v>
      </c>
      <c r="F33" s="65"/>
      <c r="G33" s="65"/>
      <c r="H33" s="65"/>
      <c r="I33" s="301"/>
      <c r="J33" s="301"/>
      <c r="K33" s="301"/>
      <c r="L33" s="304">
        <f>IF(L79=0,0,(L12-L153-L182-L184)/L79)</f>
        <v>126260365400.00003</v>
      </c>
      <c r="M33" s="279"/>
      <c r="N33" s="279"/>
    </row>
    <row r="34" spans="2:16">
      <c r="B34" s="64"/>
      <c r="C34" s="65"/>
      <c r="D34" s="57"/>
      <c r="E34" s="60"/>
      <c r="F34" s="65"/>
      <c r="G34" s="65"/>
      <c r="H34" s="65"/>
      <c r="I34" s="301"/>
      <c r="J34" s="301"/>
      <c r="K34" s="301"/>
      <c r="L34" s="302"/>
      <c r="M34" s="279"/>
      <c r="N34" s="279"/>
    </row>
    <row r="35" spans="2:16">
      <c r="B35" s="64">
        <f>B33+1</f>
        <v>13</v>
      </c>
      <c r="C35" s="65"/>
      <c r="D35" s="283" t="s">
        <v>651</v>
      </c>
      <c r="E35" s="60"/>
      <c r="F35" s="65"/>
      <c r="G35" s="65"/>
      <c r="H35" s="65"/>
      <c r="I35" s="301"/>
      <c r="J35" s="301"/>
      <c r="K35" s="301"/>
      <c r="L35" s="305">
        <f>+'SWT WS G BPU ATRR'!P19</f>
        <v>0</v>
      </c>
      <c r="M35" s="279"/>
      <c r="N35" s="279"/>
    </row>
    <row r="36" spans="2:16">
      <c r="B36" s="64"/>
      <c r="C36" s="65"/>
      <c r="E36" s="60"/>
      <c r="F36" s="65"/>
      <c r="G36" s="65"/>
      <c r="H36" s="65"/>
      <c r="I36" s="301"/>
      <c r="J36" s="301"/>
      <c r="K36" s="301"/>
      <c r="L36" s="302"/>
      <c r="M36" s="279"/>
      <c r="N36" s="279"/>
    </row>
    <row r="37" spans="2:16">
      <c r="B37" s="53"/>
      <c r="C37" s="65"/>
      <c r="E37" s="60"/>
      <c r="F37" s="65"/>
      <c r="G37" s="65"/>
      <c r="H37" s="65"/>
      <c r="I37" s="301"/>
      <c r="J37" s="301"/>
      <c r="K37" s="301"/>
      <c r="L37" s="302"/>
      <c r="M37" s="279"/>
      <c r="N37" s="279"/>
    </row>
    <row r="38" spans="2:16">
      <c r="B38" s="64"/>
      <c r="C38" s="65"/>
      <c r="E38" s="60"/>
      <c r="F38" s="65"/>
      <c r="G38" s="65"/>
      <c r="H38" s="65"/>
      <c r="I38" s="301"/>
      <c r="J38" s="301"/>
      <c r="K38" s="301"/>
      <c r="L38" s="302"/>
      <c r="M38" s="279"/>
      <c r="N38" s="279"/>
    </row>
    <row r="39" spans="2:16">
      <c r="B39" s="64"/>
      <c r="C39" s="65"/>
      <c r="E39" s="60"/>
      <c r="F39" s="65"/>
      <c r="G39" s="65"/>
      <c r="H39" s="65"/>
      <c r="I39" s="301"/>
      <c r="J39" s="301"/>
      <c r="K39" s="301"/>
      <c r="L39" s="302"/>
      <c r="M39" s="279"/>
      <c r="N39" s="279"/>
    </row>
    <row r="40" spans="2:16">
      <c r="D40" s="57"/>
      <c r="E40" s="57"/>
      <c r="G40" s="285"/>
      <c r="H40" s="57"/>
      <c r="I40" s="57"/>
      <c r="J40" s="57"/>
      <c r="K40" s="57"/>
      <c r="L40" s="57"/>
      <c r="M40" s="279"/>
      <c r="N40" s="279"/>
    </row>
    <row r="41" spans="2:16">
      <c r="D41" s="57"/>
      <c r="E41" s="57"/>
      <c r="F41" s="65"/>
      <c r="G41" s="285"/>
      <c r="H41" s="57"/>
      <c r="I41" s="57"/>
      <c r="J41" s="57"/>
      <c r="K41" s="57"/>
      <c r="L41" s="57"/>
      <c r="M41" s="279"/>
      <c r="N41" s="279"/>
      <c r="P41" s="306"/>
    </row>
    <row r="42" spans="2:16">
      <c r="D42" s="57"/>
      <c r="E42" s="57"/>
      <c r="F42" s="65" t="str">
        <f>F4</f>
        <v xml:space="preserve">AEP West SPP Member Transmission Companies </v>
      </c>
      <c r="G42" s="285"/>
      <c r="H42" s="57"/>
      <c r="I42" s="57"/>
      <c r="J42" s="57"/>
      <c r="K42" s="57"/>
      <c r="L42" s="57"/>
      <c r="M42" s="279"/>
      <c r="N42" s="279"/>
      <c r="P42" s="306"/>
    </row>
    <row r="43" spans="2:16">
      <c r="D43" s="57"/>
      <c r="E43" s="61"/>
      <c r="F43" s="65" t="str">
        <f>F5</f>
        <v>Transmission Cost of Service Formula Rate</v>
      </c>
      <c r="G43" s="61"/>
      <c r="H43" s="61"/>
      <c r="I43" s="61"/>
      <c r="J43" s="61"/>
      <c r="K43" s="61"/>
      <c r="L43" s="61"/>
      <c r="M43" s="279"/>
      <c r="N43" s="279"/>
      <c r="P43" s="307"/>
    </row>
    <row r="44" spans="2:16">
      <c r="D44" s="57"/>
      <c r="E44" s="61"/>
      <c r="F44" s="290" t="str">
        <f>F6</f>
        <v>Utilizing Actual / Projected Cost Data for the 2019 Rate Year</v>
      </c>
      <c r="G44" s="61"/>
      <c r="H44" s="61"/>
      <c r="I44" s="61"/>
      <c r="J44" s="61"/>
      <c r="K44" s="61"/>
      <c r="L44" s="61"/>
      <c r="M44" s="279"/>
      <c r="N44" s="279"/>
      <c r="P44" s="307"/>
    </row>
    <row r="45" spans="2:16">
      <c r="D45" s="57"/>
      <c r="E45" s="61"/>
      <c r="F45" s="65"/>
      <c r="G45" s="61"/>
      <c r="H45" s="61"/>
      <c r="I45" s="61"/>
      <c r="J45" s="61"/>
      <c r="K45" s="61"/>
      <c r="L45" s="61"/>
      <c r="M45" s="279"/>
      <c r="N45" s="279"/>
      <c r="P45" s="307"/>
    </row>
    <row r="46" spans="2:16">
      <c r="D46" s="57"/>
      <c r="E46" s="61"/>
      <c r="F46" s="65" t="str">
        <f>F8</f>
        <v>AEP SOUTHWESTERN TRANSMISSION COMPANY</v>
      </c>
      <c r="G46" s="61"/>
      <c r="H46" s="61"/>
      <c r="I46" s="61"/>
      <c r="J46" s="61"/>
      <c r="K46" s="61"/>
      <c r="L46" s="61"/>
      <c r="M46" s="279"/>
      <c r="N46" s="279"/>
      <c r="P46" s="307"/>
    </row>
    <row r="47" spans="2:16">
      <c r="D47" s="57"/>
      <c r="E47" s="290"/>
      <c r="F47" s="290"/>
      <c r="G47" s="290"/>
      <c r="H47" s="290"/>
      <c r="I47" s="290"/>
      <c r="J47" s="290"/>
      <c r="K47" s="290"/>
      <c r="L47" s="61"/>
      <c r="M47" s="279"/>
      <c r="N47" s="279"/>
      <c r="P47" s="307"/>
    </row>
    <row r="48" spans="2:16">
      <c r="D48" s="65" t="s">
        <v>260</v>
      </c>
      <c r="E48" s="65" t="s">
        <v>261</v>
      </c>
      <c r="F48" s="65"/>
      <c r="G48" s="65" t="s">
        <v>262</v>
      </c>
      <c r="H48" s="61" t="s">
        <v>253</v>
      </c>
      <c r="I48" s="1979" t="s">
        <v>263</v>
      </c>
      <c r="J48" s="1980"/>
      <c r="K48" s="61"/>
      <c r="L48" s="66" t="s">
        <v>264</v>
      </c>
      <c r="M48" s="279"/>
      <c r="N48" s="279"/>
    </row>
    <row r="49" spans="2:16">
      <c r="B49" s="53"/>
      <c r="D49" s="279"/>
      <c r="E49" s="279"/>
      <c r="F49" s="279"/>
      <c r="G49" s="308"/>
      <c r="H49" s="61"/>
      <c r="I49" s="61"/>
      <c r="J49" s="309"/>
      <c r="K49" s="61"/>
      <c r="M49" s="279"/>
      <c r="N49" s="279"/>
    </row>
    <row r="50" spans="2:16">
      <c r="B50" s="310"/>
      <c r="C50" s="65"/>
      <c r="D50" s="279"/>
      <c r="E50" s="311" t="s">
        <v>239</v>
      </c>
      <c r="F50" s="70"/>
      <c r="G50" s="61"/>
      <c r="H50" s="61"/>
      <c r="I50" s="61"/>
      <c r="J50" s="65"/>
      <c r="K50" s="61"/>
      <c r="L50" s="67" t="s">
        <v>257</v>
      </c>
      <c r="M50" s="279"/>
      <c r="N50" s="279"/>
      <c r="P50" s="306"/>
    </row>
    <row r="51" spans="2:16">
      <c r="B51" s="53"/>
      <c r="C51" s="74"/>
      <c r="D51" s="312" t="s">
        <v>238</v>
      </c>
      <c r="E51" s="313" t="s">
        <v>251</v>
      </c>
      <c r="F51" s="61"/>
      <c r="G51" s="312" t="s">
        <v>225</v>
      </c>
      <c r="H51" s="314"/>
      <c r="I51" s="1977" t="s">
        <v>258</v>
      </c>
      <c r="J51" s="1978"/>
      <c r="K51" s="314"/>
      <c r="L51" s="312" t="s">
        <v>254</v>
      </c>
      <c r="M51" s="279"/>
      <c r="N51" s="279"/>
    </row>
    <row r="52" spans="2:16">
      <c r="B52" s="75" t="str">
        <f>B10</f>
        <v>Line</v>
      </c>
      <c r="C52" s="65"/>
      <c r="D52" s="57"/>
      <c r="E52" s="61"/>
      <c r="F52" s="61"/>
      <c r="G52" s="315" t="s">
        <v>141</v>
      </c>
      <c r="H52" s="61"/>
      <c r="I52" s="61"/>
      <c r="J52" s="61"/>
      <c r="K52" s="61"/>
      <c r="L52" s="61"/>
      <c r="M52" s="279"/>
      <c r="N52" s="279"/>
    </row>
    <row r="53" spans="2:16" ht="16" thickBot="1">
      <c r="B53" s="73" t="str">
        <f>B11</f>
        <v>No.</v>
      </c>
      <c r="C53" s="65"/>
      <c r="D53" s="57" t="s">
        <v>226</v>
      </c>
      <c r="E53" s="316"/>
      <c r="F53" s="316"/>
      <c r="G53" s="61"/>
      <c r="H53" s="61"/>
      <c r="I53" s="290"/>
      <c r="J53" s="61"/>
      <c r="K53" s="61"/>
      <c r="L53" s="61"/>
      <c r="M53" s="279"/>
      <c r="N53" s="279"/>
    </row>
    <row r="54" spans="2:16">
      <c r="B54" s="64">
        <f>+B35+1</f>
        <v>14</v>
      </c>
      <c r="C54" s="65"/>
      <c r="D54" s="317" t="s">
        <v>265</v>
      </c>
      <c r="E54" s="61" t="str">
        <f>"(Worksheet A-1 ln "&amp;'SWT WS A-1 - Plant'!A24&amp;".B)"</f>
        <v>(Worksheet A-1 ln 14.B)</v>
      </c>
      <c r="F54" s="318"/>
      <c r="G54" s="299">
        <f>+'SWT WS A-1 - Plant'!C24</f>
        <v>0</v>
      </c>
      <c r="H54" s="299"/>
      <c r="I54" s="290" t="s">
        <v>266</v>
      </c>
      <c r="J54" s="291">
        <v>0</v>
      </c>
      <c r="K54" s="61"/>
      <c r="L54" s="299">
        <f>+J54*G54</f>
        <v>0</v>
      </c>
      <c r="M54" s="279"/>
      <c r="N54" s="279"/>
    </row>
    <row r="55" spans="2:16">
      <c r="B55" s="64">
        <f t="shared" ref="B55:B63" si="0">+B54+1</f>
        <v>15</v>
      </c>
      <c r="C55" s="65"/>
      <c r="D55" s="317" t="s">
        <v>19</v>
      </c>
      <c r="E55" s="61" t="str">
        <f>"(Worksheet A-1 ln "&amp;'SWT WS A-1 - Plant'!A24&amp;".C)"</f>
        <v>(Worksheet A-1 ln 14.C)</v>
      </c>
      <c r="F55" s="318"/>
      <c r="G55" s="299">
        <f>-'SWT WS A-1 - Plant'!D24</f>
        <v>0</v>
      </c>
      <c r="H55" s="299"/>
      <c r="I55" s="290" t="s">
        <v>266</v>
      </c>
      <c r="J55" s="291">
        <v>0</v>
      </c>
      <c r="K55" s="61"/>
      <c r="L55" s="299">
        <f>+J55*G55</f>
        <v>0</v>
      </c>
      <c r="M55" s="279"/>
      <c r="N55" s="279"/>
    </row>
    <row r="56" spans="2:16">
      <c r="B56" s="64">
        <f t="shared" si="0"/>
        <v>16</v>
      </c>
      <c r="C56" s="319"/>
      <c r="D56" s="320" t="s">
        <v>267</v>
      </c>
      <c r="E56" s="61" t="str">
        <f>"(Worksheet A-1 ln "&amp;'SWT WS A-1 - Plant'!A24&amp;".D &amp; Ln "&amp;B209</f>
        <v>(Worksheet A-1 ln 14.D &amp; Ln 121</v>
      </c>
      <c r="F56" s="321"/>
      <c r="G56" s="299">
        <f>+'SWT WS A-1 - Plant'!E24</f>
        <v>7.6923076923076925E-7</v>
      </c>
      <c r="H56" s="299"/>
      <c r="I56" s="322" t="s">
        <v>268</v>
      </c>
      <c r="J56" s="61"/>
      <c r="K56" s="323"/>
      <c r="L56" s="324">
        <f>+L209</f>
        <v>7.6923076923076925E-7</v>
      </c>
      <c r="M56" s="279"/>
      <c r="N56" s="279"/>
    </row>
    <row r="57" spans="2:16">
      <c r="B57" s="64">
        <f t="shared" si="0"/>
        <v>17</v>
      </c>
      <c r="C57" s="319"/>
      <c r="D57" s="317" t="s">
        <v>20</v>
      </c>
      <c r="E57" s="61" t="str">
        <f>"(Worksheet A-1 ln "&amp;'SWT WS A-1 - Plant'!A24&amp;".E)"</f>
        <v>(Worksheet A-1 ln 14.E)</v>
      </c>
      <c r="F57" s="321"/>
      <c r="G57" s="299">
        <f>-'SWT WS A-1 - Plant'!F24</f>
        <v>0</v>
      </c>
      <c r="H57" s="299"/>
      <c r="I57" s="322" t="s">
        <v>259</v>
      </c>
      <c r="J57" s="291">
        <f>+$L$211</f>
        <v>1</v>
      </c>
      <c r="K57" s="323"/>
      <c r="L57" s="324">
        <f>+G57*J57</f>
        <v>0</v>
      </c>
      <c r="M57" s="279"/>
      <c r="N57" s="279"/>
    </row>
    <row r="58" spans="2:16">
      <c r="B58" s="64">
        <f>+B57+1</f>
        <v>18</v>
      </c>
      <c r="C58" s="319"/>
      <c r="D58" s="57" t="s">
        <v>269</v>
      </c>
      <c r="E58" s="61" t="str">
        <f>"(Worksheet A-1 ln "&amp;'SWT WS A-1 - Plant'!A24&amp;".F)"</f>
        <v>(Worksheet A-1 ln 14.F)</v>
      </c>
      <c r="F58" s="318"/>
      <c r="G58" s="299">
        <f>+'SWT WS A-1 - Plant'!G24</f>
        <v>0</v>
      </c>
      <c r="H58" s="299"/>
      <c r="I58" s="290" t="s">
        <v>266</v>
      </c>
      <c r="J58" s="291">
        <v>0</v>
      </c>
      <c r="K58" s="61"/>
      <c r="L58" s="299">
        <f>+J58*G58</f>
        <v>0</v>
      </c>
      <c r="M58" s="279"/>
      <c r="N58" s="279"/>
    </row>
    <row r="59" spans="2:16">
      <c r="B59" s="64">
        <f t="shared" si="0"/>
        <v>19</v>
      </c>
      <c r="C59" s="319"/>
      <c r="D59" s="317" t="s">
        <v>17</v>
      </c>
      <c r="E59" s="61" t="str">
        <f>"(Worksheet A-1 ln "&amp;'SWT WS A-1 - Plant'!A24&amp;".G)"</f>
        <v>(Worksheet A-1 ln 14.G)</v>
      </c>
      <c r="F59" s="318"/>
      <c r="G59" s="299">
        <f>-'SWT WS A-1 - Plant'!H24</f>
        <v>0</v>
      </c>
      <c r="H59" s="299"/>
      <c r="I59" s="290" t="s">
        <v>266</v>
      </c>
      <c r="J59" s="291">
        <v>0</v>
      </c>
      <c r="K59" s="61"/>
      <c r="L59" s="299">
        <f>+G59*J59</f>
        <v>0</v>
      </c>
      <c r="M59" s="279"/>
      <c r="N59" s="279"/>
    </row>
    <row r="60" spans="2:16">
      <c r="B60" s="64">
        <f t="shared" si="0"/>
        <v>20</v>
      </c>
      <c r="C60" s="319"/>
      <c r="D60" s="57" t="s">
        <v>270</v>
      </c>
      <c r="E60" s="61" t="str">
        <f>"(Worksheet A-1 ln "&amp;'SWT WS A-1 - Plant'!A44&amp;".B)"</f>
        <v>(Worksheet A-1 ln 28.B)</v>
      </c>
      <c r="F60" s="318"/>
      <c r="G60" s="299">
        <f>+'SWT WS A-1 - Plant'!C44</f>
        <v>0</v>
      </c>
      <c r="H60" s="299"/>
      <c r="I60" s="290" t="s">
        <v>271</v>
      </c>
      <c r="J60" s="291">
        <f>+$L$221</f>
        <v>1</v>
      </c>
      <c r="K60" s="61"/>
      <c r="L60" s="299">
        <f>+J60*G60</f>
        <v>0</v>
      </c>
      <c r="M60" s="279"/>
      <c r="N60" s="279"/>
    </row>
    <row r="61" spans="2:16">
      <c r="B61" s="64">
        <f t="shared" si="0"/>
        <v>21</v>
      </c>
      <c r="C61" s="319"/>
      <c r="D61" s="317" t="s">
        <v>18</v>
      </c>
      <c r="E61" s="61" t="str">
        <f>"(Worksheet A-1 ln "&amp;'SWT WS A-1 - Plant'!A44&amp;".C)"</f>
        <v>(Worksheet A-1 ln 28.C)</v>
      </c>
      <c r="F61" s="318"/>
      <c r="G61" s="299">
        <f>-'SWT WS A-1 - Plant'!D44</f>
        <v>0</v>
      </c>
      <c r="H61" s="299"/>
      <c r="I61" s="290" t="s">
        <v>271</v>
      </c>
      <c r="J61" s="291">
        <f>+$L$221</f>
        <v>1</v>
      </c>
      <c r="K61" s="61"/>
      <c r="L61" s="299">
        <f>+G61*J61</f>
        <v>0</v>
      </c>
      <c r="M61" s="279"/>
      <c r="N61" s="279"/>
    </row>
    <row r="62" spans="2:16" ht="16" thickBot="1">
      <c r="B62" s="64">
        <f t="shared" si="0"/>
        <v>22</v>
      </c>
      <c r="C62" s="319"/>
      <c r="D62" s="57" t="s">
        <v>272</v>
      </c>
      <c r="E62" s="61" t="str">
        <f>"(Worksheet A-1 ln "&amp;'SWT WS A-1 - Plant'!A44&amp;".D)"</f>
        <v>(Worksheet A-1 ln 28.D)</v>
      </c>
      <c r="F62" s="318"/>
      <c r="G62" s="325">
        <f>+'SWT WS A-1 - Plant'!E44</f>
        <v>0</v>
      </c>
      <c r="H62" s="299"/>
      <c r="I62" s="290" t="s">
        <v>271</v>
      </c>
      <c r="J62" s="291">
        <f>+$L$221</f>
        <v>1</v>
      </c>
      <c r="K62" s="61"/>
      <c r="L62" s="325">
        <f>+J62*G62</f>
        <v>0</v>
      </c>
      <c r="M62" s="279"/>
      <c r="N62" s="279"/>
      <c r="O62" s="57"/>
    </row>
    <row r="63" spans="2:16">
      <c r="B63" s="310">
        <f t="shared" si="0"/>
        <v>23</v>
      </c>
      <c r="C63" s="319"/>
      <c r="D63" s="57" t="s">
        <v>224</v>
      </c>
      <c r="E63" s="285" t="str">
        <f>"(sum lns "&amp;B54&amp;" to "&amp;B62&amp;")"</f>
        <v>(sum lns 14 to 22)</v>
      </c>
      <c r="F63" s="326"/>
      <c r="G63" s="299">
        <f>SUM(G54:G62)</f>
        <v>7.6923076923076925E-7</v>
      </c>
      <c r="H63" s="299"/>
      <c r="I63" s="308" t="s">
        <v>607</v>
      </c>
      <c r="J63" s="327">
        <f>IF(G63=0,0,L63/G63)</f>
        <v>1</v>
      </c>
      <c r="K63" s="61"/>
      <c r="L63" s="299">
        <f>SUM(L54:L62)</f>
        <v>7.6923076923076925E-7</v>
      </c>
      <c r="M63" s="279"/>
      <c r="N63" s="279"/>
      <c r="O63" s="57"/>
    </row>
    <row r="64" spans="2:16">
      <c r="B64" s="310"/>
      <c r="C64" s="65"/>
      <c r="D64" s="57"/>
      <c r="E64" s="328"/>
      <c r="F64" s="326"/>
      <c r="G64" s="329"/>
      <c r="H64" s="299"/>
      <c r="I64" s="330" t="s">
        <v>353</v>
      </c>
      <c r="J64" s="1436">
        <f>+G56/(+G56+G58)</f>
        <v>1</v>
      </c>
      <c r="K64" s="61"/>
      <c r="L64" s="299"/>
      <c r="M64" s="279"/>
      <c r="N64" s="279"/>
      <c r="O64" s="57"/>
    </row>
    <row r="65" spans="2:15">
      <c r="B65" s="64">
        <f>+B63+1</f>
        <v>24</v>
      </c>
      <c r="C65" s="65"/>
      <c r="D65" s="57" t="s">
        <v>206</v>
      </c>
      <c r="E65" s="316"/>
      <c r="F65" s="316"/>
      <c r="G65" s="329"/>
      <c r="H65" s="332"/>
      <c r="I65" s="290"/>
      <c r="J65" s="333"/>
      <c r="K65" s="61"/>
      <c r="L65" s="299"/>
      <c r="M65" s="279"/>
      <c r="N65" s="279"/>
      <c r="O65" s="61"/>
    </row>
    <row r="66" spans="2:15">
      <c r="B66" s="64">
        <f t="shared" ref="B66:B75" si="1">+B65+1</f>
        <v>25</v>
      </c>
      <c r="C66" s="65"/>
      <c r="D66" s="317" t="str">
        <f>+D54</f>
        <v xml:space="preserve">  Production</v>
      </c>
      <c r="E66" s="61" t="str">
        <f>"(Worksheet A-2 ln "&amp;'SWT WS A-1 - Plant'!A24&amp;".B)"</f>
        <v>(Worksheet A-2 ln 14.B)</v>
      </c>
      <c r="F66" s="318"/>
      <c r="G66" s="299">
        <f>+'SWT WS A-2 Accumulated Depn'!C24</f>
        <v>0</v>
      </c>
      <c r="H66" s="299"/>
      <c r="I66" s="290" t="s">
        <v>266</v>
      </c>
      <c r="J66" s="291">
        <v>0</v>
      </c>
      <c r="K66" s="61"/>
      <c r="L66" s="299">
        <f>+J66*G66</f>
        <v>0</v>
      </c>
      <c r="M66" s="279"/>
      <c r="N66" s="279"/>
      <c r="O66" s="61"/>
    </row>
    <row r="67" spans="2:15">
      <c r="B67" s="64">
        <f t="shared" si="1"/>
        <v>26</v>
      </c>
      <c r="C67" s="65"/>
      <c r="D67" s="317" t="s">
        <v>19</v>
      </c>
      <c r="E67" s="61" t="str">
        <f>"(Worksheet A-2 ln "&amp;'SWT WS A-1 - Plant'!A24&amp;".C)"</f>
        <v>(Worksheet A-2 ln 14.C)</v>
      </c>
      <c r="F67" s="318"/>
      <c r="G67" s="299">
        <f>-'SWT WS A-2 Accumulated Depn'!D24</f>
        <v>0</v>
      </c>
      <c r="H67" s="299"/>
      <c r="I67" s="290" t="s">
        <v>266</v>
      </c>
      <c r="J67" s="291">
        <v>0</v>
      </c>
      <c r="K67" s="61"/>
      <c r="L67" s="299">
        <f>+J67*G67</f>
        <v>0</v>
      </c>
      <c r="M67" s="279"/>
      <c r="N67" s="279"/>
      <c r="O67" s="61"/>
    </row>
    <row r="68" spans="2:15">
      <c r="B68" s="64">
        <f t="shared" si="1"/>
        <v>27</v>
      </c>
      <c r="C68" s="319"/>
      <c r="D68" s="320" t="str">
        <f>D56</f>
        <v xml:space="preserve">  Transmission</v>
      </c>
      <c r="E68" s="61" t="str">
        <f>"(Worksheet A-2 ln "&amp;'SWT WS A-2 Accumulated Depn'!A24&amp;".D less "&amp;'SWT WS A-2 Accumulated Depn'!A46&amp;".F)"</f>
        <v>(Worksheet A-2 ln 14.D less 29.F)</v>
      </c>
      <c r="F68" s="334"/>
      <c r="G68" s="299">
        <f>+'SWT WS A-2 Accumulated Depn'!E24</f>
        <v>0</v>
      </c>
      <c r="H68" s="299"/>
      <c r="I68" s="335" t="s">
        <v>208</v>
      </c>
      <c r="J68" s="336">
        <f>IF(G68=0,0,L68/G68)</f>
        <v>0</v>
      </c>
      <c r="K68" s="323"/>
      <c r="L68" s="299">
        <f>+'SWT WS A-2 Accumulated Depn'!G46</f>
        <v>0</v>
      </c>
      <c r="M68" s="279"/>
      <c r="N68" s="279"/>
      <c r="O68" s="61"/>
    </row>
    <row r="69" spans="2:15">
      <c r="B69" s="64">
        <f t="shared" si="1"/>
        <v>28</v>
      </c>
      <c r="C69" s="319"/>
      <c r="D69" s="317" t="s">
        <v>20</v>
      </c>
      <c r="E69" s="61" t="str">
        <f>"(Worksheet A-2 ln "&amp;'SWT WS A-2 Accumulated Depn'!A24&amp;".E)"</f>
        <v>(Worksheet A-2 ln 14.E)</v>
      </c>
      <c r="F69" s="321"/>
      <c r="G69" s="299">
        <f>-'SWT WS A-2 Accumulated Depn'!F24</f>
        <v>0</v>
      </c>
      <c r="H69" s="299"/>
      <c r="I69" s="335" t="s">
        <v>208</v>
      </c>
      <c r="J69" s="291">
        <f>+J68</f>
        <v>0</v>
      </c>
      <c r="K69" s="323"/>
      <c r="L69" s="299">
        <f>+J69*G69</f>
        <v>0</v>
      </c>
      <c r="M69" s="279"/>
      <c r="N69" s="279"/>
      <c r="O69" s="61"/>
    </row>
    <row r="70" spans="2:15">
      <c r="B70" s="64">
        <f>+B69+1</f>
        <v>29</v>
      </c>
      <c r="C70" s="319"/>
      <c r="D70" s="57" t="str">
        <f>+D58</f>
        <v xml:space="preserve">  Distribution</v>
      </c>
      <c r="E70" s="61" t="str">
        <f>"(Worksheet A-2 ln "&amp;'SWT WS A-2 Accumulated Depn'!A24&amp;".F)"</f>
        <v>(Worksheet A-2 ln 14.F)</v>
      </c>
      <c r="F70" s="318"/>
      <c r="G70" s="299">
        <f>+'SWT WS A-2 Accumulated Depn'!G24</f>
        <v>0</v>
      </c>
      <c r="H70" s="299"/>
      <c r="I70" s="290" t="s">
        <v>266</v>
      </c>
      <c r="J70" s="291">
        <v>0</v>
      </c>
      <c r="K70" s="61"/>
      <c r="L70" s="299">
        <f t="shared" ref="L70:L74" si="2">+J70*G70</f>
        <v>0</v>
      </c>
      <c r="M70" s="279"/>
      <c r="N70" s="279"/>
      <c r="O70" s="61"/>
    </row>
    <row r="71" spans="2:15">
      <c r="B71" s="64">
        <f t="shared" si="1"/>
        <v>30</v>
      </c>
      <c r="C71" s="319"/>
      <c r="D71" s="317" t="s">
        <v>17</v>
      </c>
      <c r="E71" s="61" t="str">
        <f>"(Worksheet A-2 ln "&amp;'SWT WS A-2 Accumulated Depn'!A24&amp;".G)"</f>
        <v>(Worksheet A-2 ln 14.G)</v>
      </c>
      <c r="F71" s="318"/>
      <c r="G71" s="299">
        <f>-'SWT WS A-2 Accumulated Depn'!H24</f>
        <v>0</v>
      </c>
      <c r="H71" s="299"/>
      <c r="I71" s="290" t="s">
        <v>266</v>
      </c>
      <c r="J71" s="291">
        <v>0</v>
      </c>
      <c r="K71" s="61"/>
      <c r="L71" s="299">
        <f t="shared" si="2"/>
        <v>0</v>
      </c>
      <c r="M71" s="279"/>
      <c r="N71" s="279"/>
      <c r="O71" s="61"/>
    </row>
    <row r="72" spans="2:15">
      <c r="B72" s="64">
        <f t="shared" si="1"/>
        <v>31</v>
      </c>
      <c r="C72" s="319"/>
      <c r="D72" s="57" t="str">
        <f>+D60</f>
        <v xml:space="preserve">  General Plant   </v>
      </c>
      <c r="E72" s="61" t="str">
        <f>"(Worksheet A-2 ln "&amp;'SWT WS A-2 Accumulated Depn'!A44&amp;".B)"</f>
        <v>(Worksheet A-2 ln 28.B)</v>
      </c>
      <c r="F72" s="318"/>
      <c r="G72" s="299">
        <f>+'SWT WS A-2 Accumulated Depn'!C44</f>
        <v>0</v>
      </c>
      <c r="H72" s="299"/>
      <c r="I72" s="290" t="s">
        <v>271</v>
      </c>
      <c r="J72" s="291">
        <f>+$L$221</f>
        <v>1</v>
      </c>
      <c r="K72" s="61"/>
      <c r="L72" s="299">
        <f t="shared" si="2"/>
        <v>0</v>
      </c>
      <c r="M72" s="279"/>
      <c r="N72" s="279"/>
      <c r="O72" s="61"/>
    </row>
    <row r="73" spans="2:15">
      <c r="B73" s="64">
        <f t="shared" si="1"/>
        <v>32</v>
      </c>
      <c r="C73" s="319"/>
      <c r="D73" s="317" t="s">
        <v>18</v>
      </c>
      <c r="E73" s="61" t="str">
        <f>"(Worksheet A-2 ln "&amp;'SWT WS A-2 Accumulated Depn'!A44&amp;".C)"</f>
        <v>(Worksheet A-2 ln 28.C)</v>
      </c>
      <c r="F73" s="318"/>
      <c r="G73" s="299">
        <f>-'SWT WS A-2 Accumulated Depn'!D44</f>
        <v>0</v>
      </c>
      <c r="H73" s="299"/>
      <c r="I73" s="290" t="s">
        <v>271</v>
      </c>
      <c r="J73" s="291">
        <f>+$L$221</f>
        <v>1</v>
      </c>
      <c r="K73" s="61"/>
      <c r="L73" s="299">
        <f t="shared" si="2"/>
        <v>0</v>
      </c>
      <c r="M73" s="279"/>
      <c r="N73" s="279"/>
      <c r="O73" s="61"/>
    </row>
    <row r="74" spans="2:15" ht="16" thickBot="1">
      <c r="B74" s="64">
        <f t="shared" si="1"/>
        <v>33</v>
      </c>
      <c r="C74" s="319"/>
      <c r="D74" s="57" t="str">
        <f>+D62</f>
        <v xml:space="preserve">  Intangible Plant</v>
      </c>
      <c r="E74" s="61" t="str">
        <f>"(Worksheet A-2 ln "&amp;'SWT WS A-2 Accumulated Depn'!A44&amp;".D)"</f>
        <v>(Worksheet A-2 ln 28.D)</v>
      </c>
      <c r="F74" s="318"/>
      <c r="G74" s="325">
        <f>+'SWT WS A-2 Accumulated Depn'!E44</f>
        <v>0</v>
      </c>
      <c r="H74" s="299"/>
      <c r="I74" s="290" t="s">
        <v>271</v>
      </c>
      <c r="J74" s="291">
        <f>+$L$221</f>
        <v>1</v>
      </c>
      <c r="K74" s="61"/>
      <c r="L74" s="325">
        <f t="shared" si="2"/>
        <v>0</v>
      </c>
      <c r="M74" s="279"/>
      <c r="N74" s="279"/>
      <c r="O74" s="61"/>
    </row>
    <row r="75" spans="2:15">
      <c r="B75" s="64">
        <f t="shared" si="1"/>
        <v>34</v>
      </c>
      <c r="C75" s="319"/>
      <c r="D75" s="57" t="s">
        <v>223</v>
      </c>
      <c r="E75" s="337" t="str">
        <f>"(sum lns "&amp;B66&amp;" to "&amp;B74&amp;")"</f>
        <v>(sum lns 25 to 33)</v>
      </c>
      <c r="F75" s="338"/>
      <c r="G75" s="299">
        <f>SUM(G66:G74)</f>
        <v>0</v>
      </c>
      <c r="H75" s="299"/>
      <c r="I75" s="290"/>
      <c r="J75" s="61"/>
      <c r="K75" s="299"/>
      <c r="L75" s="299">
        <f>SUM(L66:L74)</f>
        <v>0</v>
      </c>
      <c r="M75" s="279"/>
      <c r="N75" s="279"/>
      <c r="O75" s="61"/>
    </row>
    <row r="76" spans="2:15">
      <c r="B76" s="64"/>
      <c r="C76" s="65"/>
      <c r="E76" s="339"/>
      <c r="F76" s="338"/>
      <c r="G76" s="299"/>
      <c r="H76" s="299"/>
      <c r="I76" s="290"/>
      <c r="J76" s="340"/>
      <c r="K76" s="61"/>
      <c r="L76" s="299"/>
      <c r="M76" s="279"/>
      <c r="N76" s="279"/>
      <c r="O76" s="61"/>
    </row>
    <row r="77" spans="2:15">
      <c r="B77" s="64">
        <f>+B75+1</f>
        <v>35</v>
      </c>
      <c r="C77" s="65"/>
      <c r="D77" s="57" t="s">
        <v>227</v>
      </c>
      <c r="E77" s="316"/>
      <c r="F77" s="316"/>
      <c r="G77" s="299"/>
      <c r="H77" s="299"/>
      <c r="I77" s="290"/>
      <c r="J77" s="61"/>
      <c r="K77" s="61"/>
      <c r="L77" s="299"/>
      <c r="M77" s="279"/>
      <c r="N77" s="279"/>
      <c r="O77" s="61"/>
    </row>
    <row r="78" spans="2:15">
      <c r="B78" s="310">
        <f t="shared" ref="B78:B83" si="3">+B77+1</f>
        <v>36</v>
      </c>
      <c r="C78" s="319"/>
      <c r="D78" s="317" t="str">
        <f>+D66</f>
        <v xml:space="preserve">  Production</v>
      </c>
      <c r="E78" s="61" t="str">
        <f>" (ln "&amp;B54&amp;" + ln "&amp;B55&amp;" - ln "&amp;B66&amp;" - ln "&amp;B67&amp;")"</f>
        <v xml:space="preserve"> (ln 14 + ln 15 - ln 25 - ln 26)</v>
      </c>
      <c r="F78" s="61"/>
      <c r="G78" s="299">
        <f>G54+G55-G66-G67</f>
        <v>0</v>
      </c>
      <c r="H78" s="299"/>
      <c r="I78" s="290"/>
      <c r="J78" s="341"/>
      <c r="K78" s="61"/>
      <c r="L78" s="299">
        <f>L54+L55-L66-L67</f>
        <v>0</v>
      </c>
      <c r="M78" s="279"/>
      <c r="N78" s="279"/>
      <c r="O78" s="61"/>
    </row>
    <row r="79" spans="2:15">
      <c r="B79" s="310">
        <f t="shared" si="3"/>
        <v>37</v>
      </c>
      <c r="C79" s="319"/>
      <c r="D79" s="317" t="str">
        <f>+D68</f>
        <v xml:space="preserve">  Transmission</v>
      </c>
      <c r="E79" s="61" t="str">
        <f>" (ln "&amp;B56&amp;" + ln "&amp;B57&amp;" - ln "&amp;B68&amp;" - ln "&amp;B69&amp;")"</f>
        <v xml:space="preserve"> (ln 16 + ln 17 - ln 27 - ln 28)</v>
      </c>
      <c r="F79" s="318"/>
      <c r="G79" s="299">
        <f>+G56+G57-G68-G69</f>
        <v>7.6923076923076925E-7</v>
      </c>
      <c r="H79" s="299"/>
      <c r="I79" s="290"/>
      <c r="J79" s="336"/>
      <c r="K79" s="61"/>
      <c r="L79" s="299">
        <f>+L56+L57-L68-L69</f>
        <v>7.6923076923076925E-7</v>
      </c>
      <c r="M79" s="279"/>
      <c r="N79" s="279"/>
      <c r="O79" s="61"/>
    </row>
    <row r="80" spans="2:15">
      <c r="B80" s="310">
        <f>+B79+1</f>
        <v>38</v>
      </c>
      <c r="C80" s="319"/>
      <c r="D80" s="317" t="str">
        <f>+D70</f>
        <v xml:space="preserve">  Distribution</v>
      </c>
      <c r="E80" s="61" t="str">
        <f>" (ln "&amp;B58&amp;" + ln "&amp;B59&amp;" - ln "&amp;B70&amp;" - ln "&amp;B71&amp;")"</f>
        <v xml:space="preserve"> (ln 18 + ln 19 - ln 29 - ln 30)</v>
      </c>
      <c r="F80" s="61"/>
      <c r="G80" s="299">
        <f>+G58+G59-G70-G71</f>
        <v>0</v>
      </c>
      <c r="H80" s="299"/>
      <c r="I80" s="290"/>
      <c r="J80" s="340"/>
      <c r="K80" s="61"/>
      <c r="L80" s="299">
        <f>+L58+L59-L70-L71</f>
        <v>0</v>
      </c>
      <c r="M80" s="279"/>
      <c r="N80" s="279"/>
      <c r="O80" s="61"/>
    </row>
    <row r="81" spans="2:15">
      <c r="B81" s="310">
        <f t="shared" si="3"/>
        <v>39</v>
      </c>
      <c r="C81" s="319"/>
      <c r="D81" s="317" t="str">
        <f>+D72</f>
        <v xml:space="preserve">  General Plant   </v>
      </c>
      <c r="E81" s="61" t="str">
        <f>" (ln "&amp;B60&amp;" + ln "&amp;B61&amp;" - ln "&amp;B72&amp;" - ln "&amp;B73&amp;")"</f>
        <v xml:space="preserve"> (ln 20 + ln 21 - ln 31 - ln 32)</v>
      </c>
      <c r="F81" s="61"/>
      <c r="G81" s="299">
        <f>+G60+G61-G72-G73</f>
        <v>0</v>
      </c>
      <c r="H81" s="299"/>
      <c r="I81" s="290"/>
      <c r="J81" s="340"/>
      <c r="K81" s="61"/>
      <c r="L81" s="299">
        <f>+L60+L61-L72-L73</f>
        <v>0</v>
      </c>
      <c r="M81" s="279"/>
      <c r="N81" s="279"/>
      <c r="O81" s="61"/>
    </row>
    <row r="82" spans="2:15" ht="16" thickBot="1">
      <c r="B82" s="310">
        <f t="shared" si="3"/>
        <v>40</v>
      </c>
      <c r="C82" s="319"/>
      <c r="D82" s="317" t="str">
        <f>+D74</f>
        <v xml:space="preserve">  Intangible Plant</v>
      </c>
      <c r="E82" s="61" t="str">
        <f>" (ln "&amp;B62&amp;" - ln "&amp;B74&amp;")"</f>
        <v xml:space="preserve"> (ln 22 - ln 33)</v>
      </c>
      <c r="F82" s="61"/>
      <c r="G82" s="325">
        <f>+G62-G74</f>
        <v>0</v>
      </c>
      <c r="H82" s="299"/>
      <c r="I82" s="290"/>
      <c r="J82" s="340"/>
      <c r="K82" s="61"/>
      <c r="L82" s="325">
        <f>+L62-L74</f>
        <v>0</v>
      </c>
      <c r="M82" s="279"/>
      <c r="N82" s="279"/>
      <c r="O82" s="61"/>
    </row>
    <row r="83" spans="2:15">
      <c r="B83" s="310">
        <f t="shared" si="3"/>
        <v>41</v>
      </c>
      <c r="C83" s="319"/>
      <c r="D83" s="317" t="s">
        <v>222</v>
      </c>
      <c r="E83" s="317" t="str">
        <f>"(sum lns "&amp;B78&amp;" to "&amp;B82&amp;")"</f>
        <v>(sum lns 36 to 40)</v>
      </c>
      <c r="F83" s="61"/>
      <c r="G83" s="299">
        <f>SUM(G78:G82)</f>
        <v>7.6923076923076925E-7</v>
      </c>
      <c r="H83" s="299"/>
      <c r="I83" s="311" t="s">
        <v>608</v>
      </c>
      <c r="J83" s="327">
        <f>IF(G83=0,0,L83/G83)</f>
        <v>1</v>
      </c>
      <c r="K83" s="61"/>
      <c r="L83" s="299">
        <f>SUM(L79:L82)</f>
        <v>7.6923076923076925E-7</v>
      </c>
      <c r="M83" s="279"/>
      <c r="N83" s="279"/>
      <c r="O83" s="61"/>
    </row>
    <row r="84" spans="2:15">
      <c r="B84" s="64"/>
      <c r="C84" s="65"/>
      <c r="D84" s="57"/>
      <c r="E84" s="61"/>
      <c r="F84" s="61"/>
      <c r="G84" s="299"/>
      <c r="H84" s="299"/>
      <c r="J84" s="342"/>
      <c r="K84" s="61"/>
      <c r="L84" s="299"/>
      <c r="M84" s="279"/>
      <c r="N84" s="279"/>
      <c r="O84" s="61"/>
    </row>
    <row r="85" spans="2:15">
      <c r="B85" s="64"/>
      <c r="C85" s="65"/>
      <c r="G85" s="279"/>
      <c r="H85" s="279"/>
      <c r="I85" s="279"/>
      <c r="J85" s="279"/>
      <c r="K85" s="279"/>
      <c r="L85" s="279"/>
      <c r="M85" s="279"/>
      <c r="N85" s="279"/>
      <c r="O85" s="61"/>
    </row>
    <row r="86" spans="2:15">
      <c r="B86" s="64">
        <f>+B83+1</f>
        <v>42</v>
      </c>
      <c r="C86" s="65"/>
      <c r="D86" s="57" t="s">
        <v>397</v>
      </c>
      <c r="E86" s="61" t="s">
        <v>175</v>
      </c>
      <c r="F86" s="290"/>
      <c r="G86" s="279"/>
      <c r="H86" s="279"/>
      <c r="I86" s="279"/>
      <c r="J86" s="279"/>
      <c r="K86" s="279"/>
      <c r="L86" s="279"/>
      <c r="M86" s="279"/>
      <c r="N86" s="279"/>
      <c r="O86" s="61"/>
    </row>
    <row r="87" spans="2:15">
      <c r="B87" s="310">
        <f t="shared" ref="B87:B92" si="4">+B86+1</f>
        <v>43</v>
      </c>
      <c r="C87" s="319"/>
      <c r="D87" s="317" t="s">
        <v>329</v>
      </c>
      <c r="E87" s="61" t="s">
        <v>35</v>
      </c>
      <c r="F87" s="61"/>
      <c r="G87" s="299">
        <v>0</v>
      </c>
      <c r="H87" s="299"/>
      <c r="I87" s="290" t="s">
        <v>266</v>
      </c>
      <c r="J87" s="291"/>
      <c r="K87" s="61"/>
      <c r="L87" s="299">
        <v>0</v>
      </c>
      <c r="M87" s="279"/>
      <c r="N87" s="279"/>
      <c r="O87" s="61"/>
    </row>
    <row r="88" spans="2:15">
      <c r="B88" s="310">
        <f t="shared" si="4"/>
        <v>44</v>
      </c>
      <c r="C88" s="319"/>
      <c r="D88" s="317" t="s">
        <v>330</v>
      </c>
      <c r="E88" s="61" t="str">
        <f>"(Worksheet C, ln "&amp;'SWT WS C ADIT &amp; ADITC'!A23&amp;" C &amp; ln "&amp;'SWT WS C ADIT &amp; ADITC'!A27&amp;" J)"</f>
        <v>(Worksheet C, ln 4 C &amp; ln 8 J)</v>
      </c>
      <c r="F88" s="318"/>
      <c r="G88" s="299">
        <f>'SWT WS C ADIT &amp; ADITC'!D23</f>
        <v>208.05500000000001</v>
      </c>
      <c r="H88" s="299"/>
      <c r="I88" s="290" t="s">
        <v>268</v>
      </c>
      <c r="J88" s="291"/>
      <c r="K88" s="61"/>
      <c r="L88" s="299">
        <f>'SWT WS C ADIT &amp; ADITC'!J27</f>
        <v>113.94100000000002</v>
      </c>
      <c r="M88" s="279"/>
      <c r="N88" s="279"/>
      <c r="O88" s="61"/>
    </row>
    <row r="89" spans="2:15">
      <c r="B89" s="310">
        <f t="shared" si="4"/>
        <v>45</v>
      </c>
      <c r="C89" s="319"/>
      <c r="D89" s="317" t="s">
        <v>331</v>
      </c>
      <c r="E89" s="61" t="str">
        <f>"(Worksheet C, ln "&amp;'SWT WS C ADIT &amp; ADITC'!A36&amp;" C &amp; ln "&amp;'SWT WS C ADIT &amp; ADITC'!A38&amp;" J)"</f>
        <v>(Worksheet C, ln 12 C &amp; ln 14 J)</v>
      </c>
      <c r="F89" s="318"/>
      <c r="G89" s="299">
        <f>'SWT WS C ADIT &amp; ADITC'!D36</f>
        <v>21321.78</v>
      </c>
      <c r="H89" s="299"/>
      <c r="I89" s="290" t="s">
        <v>268</v>
      </c>
      <c r="J89" s="291"/>
      <c r="K89" s="61"/>
      <c r="L89" s="299">
        <f>'SWT WS C ADIT &amp; ADITC'!J38</f>
        <v>17798.651000000002</v>
      </c>
      <c r="M89" s="279"/>
      <c r="N89" s="279"/>
      <c r="O89" s="61"/>
    </row>
    <row r="90" spans="2:15">
      <c r="B90" s="310">
        <f t="shared" si="4"/>
        <v>46</v>
      </c>
      <c r="C90" s="319"/>
      <c r="D90" s="317" t="s">
        <v>332</v>
      </c>
      <c r="E90" s="61" t="str">
        <f>"(Worksheet C, ln "&amp;'SWT WS C ADIT &amp; ADITC'!A48&amp;" C &amp; ln "&amp;'SWT WS C ADIT &amp; ADITC'!A52&amp;" J)"</f>
        <v>(Worksheet C, ln 18 C &amp; ln 22 J)</v>
      </c>
      <c r="F90" s="318"/>
      <c r="G90" s="299">
        <f>+'SWT WS C ADIT &amp; ADITC'!D48</f>
        <v>12345.404999999999</v>
      </c>
      <c r="H90" s="299"/>
      <c r="I90" s="290" t="s">
        <v>268</v>
      </c>
      <c r="J90" s="291"/>
      <c r="K90" s="61"/>
      <c r="L90" s="299">
        <f>+'SWT WS C ADIT &amp; ADITC'!J52</f>
        <v>-2187.29</v>
      </c>
      <c r="M90" s="279"/>
      <c r="N90" s="279"/>
      <c r="O90" s="61"/>
    </row>
    <row r="91" spans="2:15" ht="16" thickBot="1">
      <c r="B91" s="310">
        <f t="shared" si="4"/>
        <v>47</v>
      </c>
      <c r="C91" s="319"/>
      <c r="D91" s="82" t="s">
        <v>273</v>
      </c>
      <c r="E91" s="61" t="str">
        <f>"(Worksheet C, ln "&amp;'SWT WS C ADIT &amp; ADITC'!A62&amp;" C &amp; ln "&amp;'SWT WS C ADIT &amp; ADITC'!A64&amp;" J)"</f>
        <v>(Worksheet C, ln 26 C &amp; ln 28 J)</v>
      </c>
      <c r="F91" s="129"/>
      <c r="G91" s="325">
        <f>'SWT WS C ADIT &amp; ADITC'!D62</f>
        <v>0</v>
      </c>
      <c r="H91" s="299"/>
      <c r="I91" s="290" t="s">
        <v>268</v>
      </c>
      <c r="J91" s="291"/>
      <c r="K91" s="61"/>
      <c r="L91" s="325">
        <f>'SWT WS C ADIT &amp; ADITC'!J64</f>
        <v>0</v>
      </c>
      <c r="M91" s="279"/>
      <c r="N91" s="279"/>
      <c r="O91" s="61"/>
    </row>
    <row r="92" spans="2:15">
      <c r="B92" s="310">
        <f t="shared" si="4"/>
        <v>48</v>
      </c>
      <c r="C92" s="319"/>
      <c r="D92" s="317" t="s">
        <v>236</v>
      </c>
      <c r="E92" s="317" t="str">
        <f>"(sum lns "&amp;B87&amp;" to "&amp;B91&amp;")"</f>
        <v>(sum lns 43 to 47)</v>
      </c>
      <c r="F92" s="61"/>
      <c r="G92" s="299">
        <f>SUM(G87:G91)</f>
        <v>33875.24</v>
      </c>
      <c r="H92" s="279"/>
      <c r="I92" s="290"/>
      <c r="J92" s="304"/>
      <c r="K92" s="61"/>
      <c r="L92" s="299">
        <f>SUM(L87:L91)</f>
        <v>15725.302</v>
      </c>
      <c r="M92" s="279"/>
      <c r="N92" s="279"/>
    </row>
    <row r="93" spans="2:15">
      <c r="B93" s="64"/>
      <c r="C93" s="65"/>
      <c r="D93" s="317"/>
      <c r="E93" s="61"/>
      <c r="F93" s="61"/>
      <c r="G93" s="299"/>
      <c r="H93" s="279"/>
      <c r="I93" s="290"/>
      <c r="J93" s="340"/>
      <c r="K93" s="61"/>
      <c r="L93" s="299"/>
      <c r="M93" s="279"/>
      <c r="N93" s="279"/>
    </row>
    <row r="94" spans="2:15">
      <c r="B94" s="64">
        <f>+B92+1</f>
        <v>49</v>
      </c>
      <c r="C94" s="65"/>
      <c r="D94" s="317" t="s">
        <v>342</v>
      </c>
      <c r="E94" s="61" t="str">
        <f>"(Worksheet A-1 ln "&amp;'SWT WS A-1 - Plant'!A53&amp;".F)"</f>
        <v>(Worksheet A-1 ln 30.F)</v>
      </c>
      <c r="F94" s="61"/>
      <c r="G94" s="299">
        <f>+'SWT WS A-1 - Plant'!I53</f>
        <v>0</v>
      </c>
      <c r="H94" s="279"/>
      <c r="I94" s="290" t="s">
        <v>268</v>
      </c>
      <c r="J94" s="291"/>
      <c r="K94" s="61"/>
      <c r="L94" s="299">
        <f>+G94</f>
        <v>0</v>
      </c>
      <c r="M94" s="279"/>
      <c r="N94" s="279"/>
    </row>
    <row r="95" spans="2:15">
      <c r="B95" s="64"/>
      <c r="C95" s="65"/>
      <c r="D95" s="317"/>
      <c r="E95" s="61"/>
      <c r="F95" s="61"/>
      <c r="G95" s="299"/>
      <c r="H95" s="279"/>
      <c r="I95" s="290"/>
      <c r="J95" s="291"/>
      <c r="K95" s="61"/>
      <c r="L95" s="299"/>
      <c r="M95" s="279"/>
      <c r="N95" s="279"/>
    </row>
    <row r="96" spans="2:15">
      <c r="B96" s="64">
        <f>+B94+1</f>
        <v>50</v>
      </c>
      <c r="C96" s="65"/>
      <c r="D96" s="317" t="s">
        <v>610</v>
      </c>
      <c r="E96" s="61" t="str">
        <f>"(Worksheet S ln "&amp;'SWT WS S Reg Assets'!B45&amp;" cols. G and J) (Note W)"</f>
        <v>(Worksheet S ln 10 cols. G and J) (Note W)</v>
      </c>
      <c r="F96" s="61"/>
      <c r="G96" s="299">
        <f>+'SWT WS S Reg Assets'!K45</f>
        <v>0</v>
      </c>
      <c r="H96" s="279"/>
      <c r="I96" s="290" t="s">
        <v>268</v>
      </c>
      <c r="J96" s="291"/>
      <c r="K96" s="61"/>
      <c r="L96" s="299">
        <f>+'SWT WS S Reg Assets'!N45</f>
        <v>0</v>
      </c>
      <c r="M96" s="279"/>
      <c r="N96" s="279"/>
    </row>
    <row r="97" spans="2:14">
      <c r="B97" s="64"/>
      <c r="C97" s="65"/>
      <c r="D97" s="317"/>
      <c r="E97" s="61"/>
      <c r="F97" s="61"/>
      <c r="G97" s="299"/>
      <c r="H97" s="279"/>
      <c r="I97" s="290"/>
      <c r="J97" s="291"/>
      <c r="K97" s="61"/>
      <c r="L97" s="299"/>
      <c r="M97" s="279"/>
      <c r="N97" s="279"/>
    </row>
    <row r="98" spans="2:14">
      <c r="B98" s="310">
        <f>+B96+1</f>
        <v>51</v>
      </c>
      <c r="C98" s="319"/>
      <c r="D98" s="317" t="s">
        <v>838</v>
      </c>
      <c r="E98" s="61" t="str">
        <f>"(Worksheet R, ln "&amp;'SWT WS R Unfunded Reserves'!A16&amp;" F)"</f>
        <v>(Worksheet R, ln 6 F)</v>
      </c>
      <c r="F98" s="318"/>
      <c r="G98" s="299">
        <f>-'SWT WS R Unfunded Reserves'!H16</f>
        <v>0</v>
      </c>
      <c r="H98" s="279"/>
      <c r="I98" s="290" t="s">
        <v>271</v>
      </c>
      <c r="J98" s="291">
        <f>+$L$221</f>
        <v>1</v>
      </c>
      <c r="K98" s="61"/>
      <c r="L98" s="299">
        <f>+J98*G98</f>
        <v>0</v>
      </c>
      <c r="M98" s="279"/>
      <c r="N98" s="279"/>
    </row>
    <row r="99" spans="2:14">
      <c r="B99" s="64"/>
      <c r="C99" s="65"/>
      <c r="D99" s="317"/>
      <c r="E99" s="61"/>
      <c r="F99" s="61"/>
      <c r="G99" s="299"/>
      <c r="H99" s="279"/>
      <c r="I99" s="290"/>
      <c r="J99" s="291"/>
      <c r="K99" s="61"/>
      <c r="L99" s="299"/>
      <c r="M99" s="279"/>
      <c r="N99" s="279"/>
    </row>
    <row r="100" spans="2:14">
      <c r="B100" s="64">
        <f>+B98+1</f>
        <v>52</v>
      </c>
      <c r="C100" s="65"/>
      <c r="D100" s="317" t="s">
        <v>237</v>
      </c>
      <c r="E100" s="61" t="s">
        <v>142</v>
      </c>
      <c r="F100" s="61"/>
      <c r="G100" s="299"/>
      <c r="H100" s="279"/>
      <c r="I100" s="290"/>
      <c r="J100" s="61"/>
      <c r="K100" s="61"/>
      <c r="L100" s="299"/>
      <c r="M100" s="279"/>
      <c r="N100" s="279"/>
    </row>
    <row r="101" spans="2:14">
      <c r="B101" s="310">
        <f t="shared" ref="B101:B109" si="5">+B100+1</f>
        <v>53</v>
      </c>
      <c r="C101" s="319"/>
      <c r="D101" s="317" t="s">
        <v>341</v>
      </c>
      <c r="E101" s="53" t="str">
        <f>"(1/8 * (ln "&amp;B134&amp;" - Ln "&amp;B133&amp;")) (Note G)"</f>
        <v>(1/8 * (ln 70 - Ln 69)) (Note G)</v>
      </c>
      <c r="G101" s="299">
        <f>(+G134-G133)/8</f>
        <v>230.78250000000003</v>
      </c>
      <c r="H101" s="61"/>
      <c r="I101" s="290"/>
      <c r="J101" s="340"/>
      <c r="K101" s="61"/>
      <c r="L101" s="299">
        <f>+L134/8</f>
        <v>230.78250000000003</v>
      </c>
      <c r="M101" s="279"/>
      <c r="N101" s="279"/>
    </row>
    <row r="102" spans="2:14">
      <c r="B102" s="310">
        <f t="shared" si="5"/>
        <v>54</v>
      </c>
      <c r="C102" s="319"/>
      <c r="D102" s="317" t="s">
        <v>402</v>
      </c>
      <c r="E102" s="61" t="str">
        <f>"(Worksheet D, pg 1 ln "&amp;'SWT WS D Working Capital'!A16&amp;" E)"</f>
        <v>(Worksheet D, pg 1 ln 1 E)</v>
      </c>
      <c r="F102" s="318"/>
      <c r="G102" s="299">
        <f>+'SWT WS D Working Capital'!G16</f>
        <v>0</v>
      </c>
      <c r="H102" s="279"/>
      <c r="I102" s="290" t="s">
        <v>259</v>
      </c>
      <c r="J102" s="291">
        <f>+$L$211</f>
        <v>1</v>
      </c>
      <c r="K102" s="61"/>
      <c r="L102" s="299">
        <f>+J102*G102</f>
        <v>0</v>
      </c>
      <c r="M102" s="279"/>
      <c r="N102" s="279"/>
    </row>
    <row r="103" spans="2:14">
      <c r="B103" s="310">
        <f t="shared" si="5"/>
        <v>55</v>
      </c>
      <c r="C103" s="319"/>
      <c r="D103" s="317" t="s">
        <v>403</v>
      </c>
      <c r="E103" s="61" t="str">
        <f>"(Worksheet D, pg 1 ln "&amp;'SWT WS D Working Capital'!A17&amp;" E)"</f>
        <v>(Worksheet D, pg 1 ln 2 E)</v>
      </c>
      <c r="F103" s="318"/>
      <c r="G103" s="299">
        <f>+'SWT WS D Working Capital'!G17</f>
        <v>0</v>
      </c>
      <c r="H103" s="279"/>
      <c r="I103" s="290" t="s">
        <v>271</v>
      </c>
      <c r="J103" s="291">
        <f>+$L$221</f>
        <v>1</v>
      </c>
      <c r="K103" s="61"/>
      <c r="L103" s="299">
        <f>+J103*G103</f>
        <v>0</v>
      </c>
      <c r="M103" s="279"/>
      <c r="N103" s="279"/>
    </row>
    <row r="104" spans="2:14">
      <c r="B104" s="310">
        <f t="shared" si="5"/>
        <v>56</v>
      </c>
      <c r="C104" s="319"/>
      <c r="D104" s="317" t="s">
        <v>196</v>
      </c>
      <c r="E104" s="61" t="str">
        <f>"(Worksheet D, pg 1 ln "&amp;'SWT WS D Working Capital'!A18&amp;" E)"</f>
        <v>(Worksheet D, pg 1 ln 3 E)</v>
      </c>
      <c r="F104" s="318"/>
      <c r="G104" s="299">
        <f>+'SWT WS D Working Capital'!G18</f>
        <v>0</v>
      </c>
      <c r="H104" s="279"/>
      <c r="I104" s="308" t="s">
        <v>606</v>
      </c>
      <c r="J104" s="291">
        <f>+$J$63</f>
        <v>1</v>
      </c>
      <c r="K104" s="61"/>
      <c r="L104" s="299">
        <f>+J104*G104</f>
        <v>0</v>
      </c>
      <c r="M104" s="279"/>
      <c r="N104" s="279"/>
    </row>
    <row r="105" spans="2:14">
      <c r="B105" s="310">
        <f t="shared" si="5"/>
        <v>57</v>
      </c>
      <c r="C105" s="319"/>
      <c r="D105" s="317" t="s">
        <v>346</v>
      </c>
      <c r="E105" s="61" t="str">
        <f>"(Worksheet D, pg 1 ln "&amp;'SWT WS D Working Capital'!A51&amp;" G)"</f>
        <v>(Worksheet D, pg 1 ln 29 G)</v>
      </c>
      <c r="F105" s="318"/>
      <c r="G105" s="299">
        <f>+'SWT WS D Working Capital'!J51</f>
        <v>0</v>
      </c>
      <c r="H105" s="279"/>
      <c r="I105" s="290" t="s">
        <v>271</v>
      </c>
      <c r="J105" s="291">
        <f>+$L$221</f>
        <v>1</v>
      </c>
      <c r="K105" s="61"/>
      <c r="L105" s="299">
        <f>+J105*G105</f>
        <v>0</v>
      </c>
      <c r="M105" s="279"/>
      <c r="N105" s="279"/>
    </row>
    <row r="106" spans="2:14">
      <c r="B106" s="310">
        <f t="shared" si="5"/>
        <v>58</v>
      </c>
      <c r="C106" s="319"/>
      <c r="D106" s="317" t="s">
        <v>347</v>
      </c>
      <c r="E106" s="61" t="str">
        <f>"(Worksheet D, pg 1 ln "&amp;'SWT WS D Working Capital'!A51&amp;" F)"</f>
        <v>(Worksheet D, pg 1 ln 29 F)</v>
      </c>
      <c r="F106" s="318"/>
      <c r="G106" s="299">
        <f>+'SWT WS D Working Capital'!I51</f>
        <v>0</v>
      </c>
      <c r="H106" s="279"/>
      <c r="I106" s="308" t="s">
        <v>606</v>
      </c>
      <c r="J106" s="291">
        <f>+$J$63</f>
        <v>1</v>
      </c>
      <c r="K106" s="61"/>
      <c r="L106" s="299">
        <f>+G106*J106</f>
        <v>0</v>
      </c>
      <c r="M106" s="279"/>
      <c r="N106" s="279"/>
    </row>
    <row r="107" spans="2:14">
      <c r="B107" s="310">
        <f t="shared" si="5"/>
        <v>59</v>
      </c>
      <c r="C107" s="319"/>
      <c r="D107" s="317" t="s">
        <v>388</v>
      </c>
      <c r="E107" s="61" t="str">
        <f>"(Worksheet D, pg 1 ln "&amp;'SWT WS D Working Capital'!A51&amp;" E)"</f>
        <v>(Worksheet D, pg 1 ln 29 E)</v>
      </c>
      <c r="F107" s="318"/>
      <c r="G107" s="299">
        <f>+'SWT WS D Working Capital'!G51</f>
        <v>0</v>
      </c>
      <c r="H107" s="279"/>
      <c r="I107" s="290" t="s">
        <v>268</v>
      </c>
      <c r="J107" s="291">
        <v>1</v>
      </c>
      <c r="K107" s="61"/>
      <c r="L107" s="299">
        <f>+G107</f>
        <v>0</v>
      </c>
      <c r="M107" s="279"/>
      <c r="N107" s="279"/>
    </row>
    <row r="108" spans="2:14" ht="16" thickBot="1">
      <c r="B108" s="310">
        <f t="shared" si="5"/>
        <v>60</v>
      </c>
      <c r="C108" s="319"/>
      <c r="D108" s="317" t="s">
        <v>244</v>
      </c>
      <c r="E108" s="61" t="str">
        <f>"(Worksheet D, pg 1 ln "&amp;'SWT WS D Working Capital'!A51&amp;" D)"</f>
        <v>(Worksheet D, pg 1 ln 29 D)</v>
      </c>
      <c r="F108" s="318"/>
      <c r="G108" s="325">
        <f>+'SWT WS D Working Capital'!E51</f>
        <v>0</v>
      </c>
      <c r="H108" s="299"/>
      <c r="I108" s="290" t="s">
        <v>266</v>
      </c>
      <c r="J108" s="291">
        <v>0</v>
      </c>
      <c r="K108" s="61"/>
      <c r="L108" s="325">
        <f>+G108*J108</f>
        <v>0</v>
      </c>
      <c r="M108" s="279"/>
      <c r="N108" s="279"/>
    </row>
    <row r="109" spans="2:14">
      <c r="B109" s="310">
        <f t="shared" si="5"/>
        <v>61</v>
      </c>
      <c r="C109" s="319"/>
      <c r="D109" s="317" t="s">
        <v>221</v>
      </c>
      <c r="E109" s="317" t="str">
        <f>"(sum lns "&amp;B101&amp;" to "&amp;B108&amp;")"</f>
        <v>(sum lns 53 to 60)</v>
      </c>
      <c r="F109" s="60"/>
      <c r="G109" s="299">
        <f>SUM(G101:G108)</f>
        <v>230.78250000000003</v>
      </c>
      <c r="H109" s="60"/>
      <c r="I109" s="65"/>
      <c r="J109" s="60"/>
      <c r="K109" s="60"/>
      <c r="L109" s="299">
        <f>SUM(L101:L108)</f>
        <v>230.78250000000003</v>
      </c>
      <c r="M109" s="279"/>
      <c r="N109" s="279"/>
    </row>
    <row r="110" spans="2:14">
      <c r="B110" s="64"/>
      <c r="C110" s="65"/>
      <c r="D110" s="317"/>
      <c r="E110" s="60"/>
      <c r="F110" s="60"/>
      <c r="G110" s="299"/>
      <c r="H110" s="60"/>
      <c r="I110" s="65"/>
      <c r="J110" s="60"/>
      <c r="K110" s="60"/>
      <c r="L110" s="299"/>
      <c r="M110" s="279"/>
      <c r="N110" s="279"/>
    </row>
    <row r="111" spans="2:14">
      <c r="B111" s="64">
        <f>+B109+1</f>
        <v>62</v>
      </c>
      <c r="C111" s="65"/>
      <c r="D111" s="317" t="s">
        <v>210</v>
      </c>
      <c r="E111" s="57" t="str">
        <f>"(Note H) (Worksheet E, ln "&amp;'SWT WS E IPP Credits'!A22&amp;" B)"</f>
        <v>(Note H) (Worksheet E, ln 8 B)</v>
      </c>
      <c r="F111" s="60"/>
      <c r="G111" s="299">
        <f>IF(G63=0,0,-'SWT WS E IPP Credits'!C22)</f>
        <v>0</v>
      </c>
      <c r="H111" s="60"/>
      <c r="I111" s="343" t="s">
        <v>268</v>
      </c>
      <c r="J111" s="291">
        <v>1</v>
      </c>
      <c r="K111" s="61"/>
      <c r="L111" s="299">
        <f>+J111*G111</f>
        <v>0</v>
      </c>
      <c r="M111" s="279"/>
      <c r="N111" s="279"/>
    </row>
    <row r="112" spans="2:14" ht="16" thickBot="1">
      <c r="D112" s="82"/>
      <c r="E112" s="61"/>
      <c r="F112" s="61"/>
      <c r="G112" s="325"/>
      <c r="H112" s="61"/>
      <c r="I112" s="290"/>
      <c r="J112" s="61"/>
      <c r="K112" s="61"/>
      <c r="L112" s="325"/>
      <c r="M112" s="279"/>
      <c r="N112" s="279"/>
    </row>
    <row r="113" spans="2:15" ht="16" thickBot="1">
      <c r="B113" s="64">
        <f>+B111+1</f>
        <v>63</v>
      </c>
      <c r="C113" s="65"/>
      <c r="D113" s="57" t="str">
        <f>"RATE BASE  (sum lns "&amp;B83&amp;", "&amp;B92&amp;", "&amp;B94&amp;", "&amp;B96&amp;", "&amp;B98&amp;", "&amp;B109&amp;", "&amp;B111&amp;")"</f>
        <v>RATE BASE  (sum lns 41, 48, 49, 50, 51, 61, 62)</v>
      </c>
      <c r="E113" s="61"/>
      <c r="F113" s="61"/>
      <c r="G113" s="344">
        <f>+G83+G92+G94+G96+G98+G109+G111</f>
        <v>34106.022500769228</v>
      </c>
      <c r="H113" s="61"/>
      <c r="I113" s="61"/>
      <c r="J113" s="340"/>
      <c r="K113" s="61"/>
      <c r="L113" s="344">
        <f>+L83+L92+L94+L96+L98+L109+L111</f>
        <v>15956.08450076923</v>
      </c>
      <c r="M113" s="279"/>
      <c r="N113" s="279"/>
    </row>
    <row r="114" spans="2:15" ht="16" thickTop="1">
      <c r="B114" s="64"/>
      <c r="C114" s="279"/>
      <c r="D114" s="279"/>
      <c r="E114" s="279"/>
      <c r="F114" s="279"/>
      <c r="G114" s="279"/>
      <c r="H114" s="279"/>
      <c r="I114" s="275"/>
      <c r="J114" s="275"/>
      <c r="K114" s="275"/>
      <c r="M114" s="279"/>
      <c r="N114" s="279"/>
    </row>
    <row r="115" spans="2:15">
      <c r="B115" s="64"/>
      <c r="C115" s="65"/>
      <c r="D115" s="57"/>
      <c r="E115" s="61"/>
      <c r="F115" s="61"/>
      <c r="G115" s="61"/>
      <c r="H115" s="61"/>
      <c r="I115" s="61"/>
      <c r="J115" s="61"/>
      <c r="K115" s="61"/>
      <c r="L115" s="61"/>
      <c r="M115" s="279"/>
      <c r="N115" s="279"/>
    </row>
    <row r="116" spans="2:15">
      <c r="B116" s="64"/>
      <c r="C116" s="65"/>
      <c r="D116" s="57"/>
      <c r="E116" s="61"/>
      <c r="F116" s="290" t="str">
        <f>F42</f>
        <v xml:space="preserve">AEP West SPP Member Transmission Companies </v>
      </c>
      <c r="G116" s="290"/>
      <c r="H116" s="61"/>
      <c r="I116" s="61"/>
      <c r="J116" s="61"/>
      <c r="K116" s="61"/>
      <c r="L116" s="61"/>
      <c r="M116" s="279"/>
      <c r="N116" s="279"/>
    </row>
    <row r="117" spans="2:15">
      <c r="B117" s="64"/>
      <c r="C117" s="65"/>
      <c r="D117" s="57"/>
      <c r="E117" s="61"/>
      <c r="F117" s="290" t="str">
        <f>F43</f>
        <v>Transmission Cost of Service Formula Rate</v>
      </c>
      <c r="G117" s="290"/>
      <c r="H117" s="61"/>
      <c r="I117" s="61"/>
      <c r="J117" s="61"/>
      <c r="K117" s="61"/>
      <c r="L117" s="61"/>
      <c r="M117" s="279"/>
      <c r="N117" s="279"/>
    </row>
    <row r="118" spans="2:15">
      <c r="B118" s="64"/>
      <c r="C118" s="65"/>
      <c r="E118" s="61"/>
      <c r="F118" s="290" t="str">
        <f>F44</f>
        <v>Utilizing Actual / Projected Cost Data for the 2019 Rate Year</v>
      </c>
      <c r="G118" s="61"/>
      <c r="H118" s="61"/>
      <c r="I118" s="61"/>
      <c r="J118" s="61"/>
      <c r="K118" s="61"/>
      <c r="L118" s="61"/>
      <c r="M118" s="279"/>
      <c r="N118" s="279"/>
    </row>
    <row r="119" spans="2:15">
      <c r="B119" s="64"/>
      <c r="C119" s="65"/>
      <c r="E119" s="61"/>
      <c r="F119" s="290"/>
      <c r="G119" s="61"/>
      <c r="H119" s="61"/>
      <c r="I119" s="61"/>
      <c r="J119" s="61"/>
      <c r="K119" s="61"/>
      <c r="L119" s="61"/>
      <c r="M119" s="279"/>
      <c r="N119" s="279"/>
    </row>
    <row r="120" spans="2:15">
      <c r="B120" s="64"/>
      <c r="C120" s="65"/>
      <c r="E120" s="100"/>
      <c r="F120" s="290" t="str">
        <f>F46</f>
        <v>AEP SOUTHWESTERN TRANSMISSION COMPANY</v>
      </c>
      <c r="G120" s="100"/>
      <c r="H120" s="100"/>
      <c r="I120" s="100"/>
      <c r="J120" s="100"/>
      <c r="K120" s="100"/>
      <c r="M120" s="279"/>
      <c r="N120" s="279"/>
    </row>
    <row r="121" spans="2:15">
      <c r="B121" s="64"/>
      <c r="C121" s="65"/>
      <c r="E121" s="100"/>
      <c r="F121" s="290"/>
      <c r="G121" s="100"/>
      <c r="H121" s="100"/>
      <c r="I121" s="100"/>
      <c r="J121" s="100"/>
      <c r="K121" s="100"/>
      <c r="M121" s="279"/>
      <c r="N121" s="279"/>
    </row>
    <row r="122" spans="2:15">
      <c r="D122" s="65" t="s">
        <v>260</v>
      </c>
      <c r="E122" s="65" t="s">
        <v>261</v>
      </c>
      <c r="F122" s="65"/>
      <c r="G122" s="65" t="s">
        <v>262</v>
      </c>
      <c r="H122" s="61"/>
      <c r="I122" s="1979" t="s">
        <v>263</v>
      </c>
      <c r="J122" s="1980"/>
      <c r="K122" s="61"/>
      <c r="L122" s="66" t="s">
        <v>264</v>
      </c>
      <c r="M122" s="279"/>
      <c r="N122" s="279"/>
    </row>
    <row r="123" spans="2:15">
      <c r="B123" s="53"/>
      <c r="D123" s="65"/>
      <c r="E123" s="65"/>
      <c r="F123" s="65"/>
      <c r="G123" s="65"/>
      <c r="H123" s="61"/>
      <c r="I123" s="61"/>
      <c r="J123" s="309"/>
      <c r="K123" s="61"/>
      <c r="M123" s="279"/>
      <c r="N123" s="279"/>
      <c r="O123" s="275"/>
    </row>
    <row r="124" spans="2:15">
      <c r="B124" s="310"/>
      <c r="C124" s="65"/>
      <c r="D124" s="71" t="s">
        <v>240</v>
      </c>
      <c r="E124" s="311" t="str">
        <f>E50</f>
        <v>Data Sources</v>
      </c>
      <c r="F124" s="70"/>
      <c r="G124" s="61"/>
      <c r="H124" s="61"/>
      <c r="I124" s="61"/>
      <c r="J124" s="65"/>
      <c r="K124" s="61"/>
      <c r="L124" s="311" t="str">
        <f>L50</f>
        <v>Total</v>
      </c>
      <c r="M124" s="279"/>
      <c r="N124" s="279"/>
      <c r="O124" s="275"/>
    </row>
    <row r="125" spans="2:15">
      <c r="B125" s="53"/>
      <c r="C125" s="74"/>
      <c r="D125" s="312" t="s">
        <v>241</v>
      </c>
      <c r="E125" s="345" t="str">
        <f>E51</f>
        <v>(See "General Notes")</v>
      </c>
      <c r="F125" s="61"/>
      <c r="G125" s="345" t="str">
        <f>G51</f>
        <v>TO Total</v>
      </c>
      <c r="H125" s="314"/>
      <c r="I125" s="1977" t="str">
        <f>I51</f>
        <v>Allocator</v>
      </c>
      <c r="J125" s="1978"/>
      <c r="K125" s="314"/>
      <c r="L125" s="345" t="str">
        <f>L51</f>
        <v>Transmission</v>
      </c>
      <c r="M125" s="279"/>
      <c r="N125" s="279"/>
      <c r="O125" s="275"/>
    </row>
    <row r="126" spans="2:15">
      <c r="B126" s="346" t="str">
        <f>B52</f>
        <v>Line</v>
      </c>
      <c r="D126" s="57"/>
      <c r="E126" s="61"/>
      <c r="F126" s="61"/>
      <c r="G126" s="312"/>
      <c r="H126" s="347"/>
      <c r="I126" s="71"/>
      <c r="K126" s="347"/>
      <c r="L126" s="312"/>
      <c r="M126" s="279"/>
      <c r="N126" s="279"/>
    </row>
    <row r="127" spans="2:15" ht="16" thickBot="1">
      <c r="B127" s="73" t="str">
        <f>B53</f>
        <v>No.</v>
      </c>
      <c r="C127" s="65"/>
      <c r="D127" s="57" t="s">
        <v>242</v>
      </c>
      <c r="E127" s="61"/>
      <c r="F127" s="61"/>
      <c r="G127" s="61"/>
      <c r="H127" s="61"/>
      <c r="I127" s="290"/>
      <c r="J127" s="61"/>
      <c r="K127" s="61"/>
      <c r="L127" s="61"/>
      <c r="M127" s="279"/>
      <c r="N127" s="279"/>
    </row>
    <row r="128" spans="2:15">
      <c r="B128" s="75">
        <f>+B113+1</f>
        <v>64</v>
      </c>
      <c r="C128" s="65"/>
      <c r="D128" s="57" t="s">
        <v>274</v>
      </c>
      <c r="E128" s="61" t="s">
        <v>53</v>
      </c>
      <c r="F128" s="61"/>
      <c r="G128" s="408">
        <v>1905.7600000000002</v>
      </c>
      <c r="H128" s="299"/>
      <c r="I128" s="279"/>
      <c r="J128" s="279"/>
      <c r="K128" s="279"/>
      <c r="L128" s="279"/>
      <c r="M128" s="279"/>
      <c r="N128" s="279"/>
      <c r="O128" s="61"/>
    </row>
    <row r="129" spans="1:15">
      <c r="A129" s="279"/>
      <c r="B129" s="75">
        <f>+B128+1</f>
        <v>65</v>
      </c>
      <c r="C129" s="65"/>
      <c r="D129" s="57" t="s">
        <v>398</v>
      </c>
      <c r="E129" s="61" t="s">
        <v>182</v>
      </c>
      <c r="F129" s="61"/>
      <c r="G129" s="408">
        <v>59.5</v>
      </c>
      <c r="H129" s="299"/>
      <c r="I129" s="279"/>
      <c r="J129" s="279"/>
      <c r="K129" s="279"/>
      <c r="L129" s="279"/>
      <c r="M129" s="279"/>
      <c r="N129" s="279"/>
      <c r="O129" s="61"/>
    </row>
    <row r="130" spans="1:15">
      <c r="A130" s="279"/>
      <c r="B130" s="75">
        <f t="shared" ref="B130:B134" si="6">+B129+1</f>
        <v>66</v>
      </c>
      <c r="C130" s="65"/>
      <c r="D130" s="57" t="s">
        <v>205</v>
      </c>
      <c r="E130" s="61" t="s">
        <v>183</v>
      </c>
      <c r="F130" s="61"/>
      <c r="G130" s="408">
        <v>0</v>
      </c>
      <c r="H130" s="299"/>
      <c r="I130" s="279"/>
      <c r="J130" s="279"/>
      <c r="K130" s="279"/>
      <c r="L130" s="279"/>
      <c r="M130" s="279"/>
      <c r="N130" s="279"/>
      <c r="O130" s="61"/>
    </row>
    <row r="131" spans="1:15">
      <c r="A131" s="279"/>
      <c r="B131" s="75">
        <f t="shared" si="6"/>
        <v>67</v>
      </c>
      <c r="C131" s="65"/>
      <c r="D131" s="57" t="s">
        <v>748</v>
      </c>
      <c r="E131" s="61" t="str">
        <f>"Worksheet S ln "&amp;'SWT WS S Reg Assets'!B16&amp;" (Note V)"</f>
        <v>Worksheet S ln 2 (Note V)</v>
      </c>
      <c r="F131" s="61"/>
      <c r="G131" s="1437">
        <f>+'SWT WS S Reg Assets'!I16</f>
        <v>0</v>
      </c>
      <c r="H131" s="299"/>
      <c r="I131" s="279"/>
      <c r="J131" s="279"/>
      <c r="K131" s="279"/>
      <c r="L131" s="279"/>
      <c r="M131" s="279"/>
      <c r="N131" s="279"/>
      <c r="O131" s="61"/>
    </row>
    <row r="132" spans="1:15">
      <c r="A132" s="279"/>
      <c r="B132" s="75">
        <f t="shared" si="6"/>
        <v>68</v>
      </c>
      <c r="C132" s="65"/>
      <c r="D132" s="57" t="s">
        <v>620</v>
      </c>
      <c r="E132" s="61" t="str">
        <f>"Worksheet I ln "&amp;'SWT WS I Exp Adj'!B21&amp;""</f>
        <v>Worksheet I ln 10</v>
      </c>
      <c r="F132" s="61"/>
      <c r="G132" s="350">
        <f>+'SWT WS I Exp Adj'!G21</f>
        <v>0</v>
      </c>
      <c r="H132" s="299"/>
      <c r="I132" s="279"/>
      <c r="J132" s="279"/>
      <c r="K132" s="279"/>
      <c r="L132" s="279"/>
      <c r="M132" s="279"/>
      <c r="N132" s="279"/>
      <c r="O132" s="61"/>
    </row>
    <row r="133" spans="1:15" ht="16" thickBot="1">
      <c r="A133" s="279"/>
      <c r="B133" s="75">
        <f t="shared" si="6"/>
        <v>69</v>
      </c>
      <c r="C133" s="65"/>
      <c r="D133" s="57" t="s">
        <v>749</v>
      </c>
      <c r="E133" s="61" t="str">
        <f>"Worksheet S ln "&amp;'SWT WS S Reg Assets'!B23&amp;" (Note V)"</f>
        <v>Worksheet S ln 4 (Note V)</v>
      </c>
      <c r="F133" s="61"/>
      <c r="G133" s="289">
        <f>+'SWT WS S Reg Assets'!I23</f>
        <v>0</v>
      </c>
      <c r="H133" s="299"/>
      <c r="I133" s="279"/>
      <c r="J133" s="279"/>
      <c r="K133" s="279"/>
      <c r="L133" s="279"/>
      <c r="M133" s="279"/>
      <c r="N133" s="279"/>
      <c r="O133" s="61"/>
    </row>
    <row r="134" spans="1:15">
      <c r="A134" s="279"/>
      <c r="B134" s="75">
        <f t="shared" si="6"/>
        <v>70</v>
      </c>
      <c r="C134" s="65"/>
      <c r="D134" s="57" t="s">
        <v>49</v>
      </c>
      <c r="E134" s="61" t="str">
        <f>"(lns "&amp;B128&amp;" - "&amp;B129&amp;" - "&amp;B130&amp;" - "&amp;B131&amp;" + "&amp;B132&amp;" + "&amp;B133&amp;")"</f>
        <v>(lns 64 - 65 - 66 - 67 + 68 + 69)</v>
      </c>
      <c r="F134" s="57"/>
      <c r="G134" s="351">
        <f>+G128-G129-G130-G131+G132+G133</f>
        <v>1846.2600000000002</v>
      </c>
      <c r="H134" s="61"/>
      <c r="I134" s="290" t="s">
        <v>259</v>
      </c>
      <c r="J134" s="291">
        <f>+$L$211</f>
        <v>1</v>
      </c>
      <c r="K134" s="61"/>
      <c r="L134" s="299">
        <f>+J134*G134</f>
        <v>1846.2600000000002</v>
      </c>
      <c r="M134" s="279"/>
      <c r="N134" s="279"/>
      <c r="O134" s="61"/>
    </row>
    <row r="135" spans="1:15">
      <c r="A135" s="279"/>
      <c r="B135" s="64"/>
      <c r="C135" s="65"/>
      <c r="D135" s="57"/>
      <c r="E135" s="61"/>
      <c r="F135" s="61"/>
      <c r="G135" s="272"/>
      <c r="H135" s="299"/>
      <c r="I135" s="279"/>
      <c r="J135" s="279"/>
      <c r="K135" s="279"/>
      <c r="L135" s="279"/>
      <c r="M135" s="279"/>
      <c r="N135" s="279"/>
      <c r="O135" s="61"/>
    </row>
    <row r="136" spans="1:15">
      <c r="A136" s="279"/>
      <c r="B136" s="64">
        <f>+B134+1</f>
        <v>71</v>
      </c>
      <c r="C136" s="65"/>
      <c r="D136" s="57" t="s">
        <v>243</v>
      </c>
      <c r="E136" s="61" t="s">
        <v>415</v>
      </c>
      <c r="F136" s="61"/>
      <c r="G136" s="408">
        <v>95277.098000000027</v>
      </c>
      <c r="H136" s="299"/>
      <c r="I136" s="336"/>
      <c r="J136" s="336"/>
      <c r="K136" s="61"/>
      <c r="L136" s="299"/>
      <c r="M136" s="279"/>
      <c r="N136" s="279"/>
      <c r="O136" s="61"/>
    </row>
    <row r="137" spans="1:15">
      <c r="A137" s="279"/>
      <c r="B137" s="64">
        <f t="shared" ref="B137:B144" si="7">+B136+1</f>
        <v>72</v>
      </c>
      <c r="C137" s="65"/>
      <c r="D137" s="57" t="s">
        <v>400</v>
      </c>
      <c r="E137" s="61" t="s">
        <v>54</v>
      </c>
      <c r="F137" s="61"/>
      <c r="G137" s="408">
        <v>0</v>
      </c>
      <c r="H137" s="299"/>
      <c r="I137" s="336"/>
      <c r="J137" s="57"/>
      <c r="K137" s="61"/>
      <c r="L137" s="299"/>
      <c r="M137" s="279"/>
      <c r="N137" s="279"/>
      <c r="O137" s="61"/>
    </row>
    <row r="138" spans="1:15">
      <c r="B138" s="64">
        <f t="shared" si="7"/>
        <v>73</v>
      </c>
      <c r="C138" s="65"/>
      <c r="D138" s="57" t="s">
        <v>399</v>
      </c>
      <c r="E138" s="61" t="s">
        <v>184</v>
      </c>
      <c r="F138" s="61"/>
      <c r="G138" s="299">
        <f>+'SWT WS J Misc Exp'!D31</f>
        <v>3.5500000000000003</v>
      </c>
      <c r="H138" s="299"/>
      <c r="I138" s="336"/>
      <c r="J138" s="352"/>
      <c r="K138" s="61"/>
      <c r="L138" s="299"/>
      <c r="M138" s="279"/>
      <c r="N138" s="279"/>
      <c r="O138" s="61"/>
    </row>
    <row r="139" spans="1:15">
      <c r="B139" s="64">
        <f t="shared" si="7"/>
        <v>74</v>
      </c>
      <c r="C139" s="65"/>
      <c r="D139" s="57" t="s">
        <v>246</v>
      </c>
      <c r="E139" s="61" t="s">
        <v>185</v>
      </c>
      <c r="F139" s="61"/>
      <c r="G139" s="299">
        <f>+'SWT WS J Misc Exp'!D41</f>
        <v>0.05</v>
      </c>
      <c r="H139" s="299"/>
      <c r="I139" s="336"/>
      <c r="J139" s="336"/>
      <c r="K139" s="61"/>
      <c r="L139" s="299"/>
      <c r="M139" s="279"/>
      <c r="N139" s="279"/>
      <c r="O139" s="61"/>
    </row>
    <row r="140" spans="1:15">
      <c r="B140" s="64">
        <f t="shared" si="7"/>
        <v>75</v>
      </c>
      <c r="C140" s="65"/>
      <c r="D140" s="57" t="s">
        <v>401</v>
      </c>
      <c r="E140" s="61" t="s">
        <v>186</v>
      </c>
      <c r="F140" s="61"/>
      <c r="G140" s="299">
        <f>+'SWT WS J Misc Exp'!D50</f>
        <v>6050.06</v>
      </c>
      <c r="H140" s="299"/>
      <c r="I140" s="336"/>
      <c r="J140" s="336"/>
      <c r="K140" s="61"/>
      <c r="L140" s="299"/>
      <c r="M140" s="279"/>
      <c r="N140" s="279"/>
      <c r="O140" s="61"/>
    </row>
    <row r="141" spans="1:15" ht="16" thickBot="1">
      <c r="B141" s="64">
        <f>+B140+1</f>
        <v>76</v>
      </c>
      <c r="C141" s="65"/>
      <c r="D141" s="57" t="s">
        <v>771</v>
      </c>
      <c r="E141" s="61" t="str">
        <f>"Worksheet S ln "&amp;'SWT WS S Reg Assets'!B28&amp;" (Note V)"</f>
        <v>Worksheet S ln 6 (Note V)</v>
      </c>
      <c r="F141" s="61"/>
      <c r="G141" s="299">
        <f>+'SWT WS S Reg Assets'!I28</f>
        <v>0</v>
      </c>
      <c r="H141" s="299"/>
      <c r="I141" s="336"/>
      <c r="J141" s="336"/>
      <c r="K141" s="61"/>
      <c r="L141" s="299"/>
      <c r="M141" s="279"/>
      <c r="N141" s="279"/>
      <c r="O141" s="61"/>
    </row>
    <row r="142" spans="1:15">
      <c r="B142" s="64">
        <f>+B141+1</f>
        <v>77</v>
      </c>
      <c r="C142" s="65"/>
      <c r="D142" s="57" t="s">
        <v>247</v>
      </c>
      <c r="E142" s="61" t="str">
        <f>"(ln "&amp;B136&amp;" - sum ln "&amp;B137&amp;"  to ln "&amp;B141&amp;")"</f>
        <v>(ln 71 - sum ln 72  to ln 76)</v>
      </c>
      <c r="F142" s="61"/>
      <c r="G142" s="351">
        <f>G136-SUM(G137:G141)</f>
        <v>89223.438000000024</v>
      </c>
      <c r="H142" s="299"/>
      <c r="I142" s="290" t="s">
        <v>271</v>
      </c>
      <c r="J142" s="291">
        <f>+$L$221</f>
        <v>1</v>
      </c>
      <c r="K142" s="61"/>
      <c r="L142" s="299">
        <f>+J142*G142</f>
        <v>89223.438000000024</v>
      </c>
      <c r="M142" s="279"/>
      <c r="N142" s="279"/>
      <c r="O142" s="61"/>
    </row>
    <row r="143" spans="1:15">
      <c r="B143" s="64">
        <f t="shared" si="7"/>
        <v>78</v>
      </c>
      <c r="C143" s="65"/>
      <c r="D143" s="57" t="s">
        <v>333</v>
      </c>
      <c r="E143" s="61" t="str">
        <f>"(ln "&amp;B137&amp;")"</f>
        <v>(ln 72)</v>
      </c>
      <c r="F143" s="61"/>
      <c r="G143" s="299">
        <f>+G137</f>
        <v>0</v>
      </c>
      <c r="H143" s="299"/>
      <c r="I143" s="308" t="s">
        <v>606</v>
      </c>
      <c r="J143" s="291">
        <f>+$J$63</f>
        <v>1</v>
      </c>
      <c r="K143" s="61"/>
      <c r="L143" s="299">
        <f>+J143*G143</f>
        <v>0</v>
      </c>
      <c r="M143" s="279"/>
      <c r="N143" s="279"/>
      <c r="O143" s="61"/>
    </row>
    <row r="144" spans="1:15">
      <c r="B144" s="64">
        <f t="shared" si="7"/>
        <v>79</v>
      </c>
      <c r="C144" s="65"/>
      <c r="D144" s="57" t="s">
        <v>358</v>
      </c>
      <c r="E144" s="61" t="str">
        <f>"Worksheet J ln "&amp;'SWT WS J Misc Exp'!A31&amp;".(E) (Note L)"</f>
        <v>Worksheet J ln 16.(E) (Note L)</v>
      </c>
      <c r="F144" s="61"/>
      <c r="G144" s="299">
        <f>+'SWT WS J Misc Exp'!F31</f>
        <v>3.5500000000000003</v>
      </c>
      <c r="H144" s="299"/>
      <c r="I144" s="290" t="s">
        <v>259</v>
      </c>
      <c r="J144" s="291">
        <f>+$L$211</f>
        <v>1</v>
      </c>
      <c r="K144" s="61"/>
      <c r="L144" s="299">
        <f>J144*G144</f>
        <v>3.5500000000000003</v>
      </c>
      <c r="M144" s="279"/>
      <c r="N144" s="279"/>
      <c r="O144" s="61"/>
    </row>
    <row r="145" spans="2:15">
      <c r="B145" s="64">
        <f>+B144+1</f>
        <v>80</v>
      </c>
      <c r="C145" s="65"/>
      <c r="D145" s="57" t="s">
        <v>360</v>
      </c>
      <c r="E145" s="61" t="str">
        <f>"Worksheet J ln "&amp;'SWT WS J Misc Exp'!A41&amp;".(E) (Note L)"</f>
        <v>Worksheet J ln 22.(E) (Note L)</v>
      </c>
      <c r="F145" s="61"/>
      <c r="G145" s="289">
        <f>'SWT WS J Misc Exp'!F41</f>
        <v>0.05</v>
      </c>
      <c r="H145" s="61"/>
      <c r="I145" s="308" t="s">
        <v>606</v>
      </c>
      <c r="J145" s="291">
        <f>+J63</f>
        <v>1</v>
      </c>
      <c r="K145" s="61"/>
      <c r="L145" s="289">
        <f>+J145*G145</f>
        <v>0.05</v>
      </c>
      <c r="M145" s="279"/>
      <c r="N145" s="279"/>
      <c r="O145" s="61"/>
    </row>
    <row r="146" spans="2:15">
      <c r="B146" s="64">
        <f>+B145+1</f>
        <v>81</v>
      </c>
      <c r="C146" s="65"/>
      <c r="D146" s="57" t="s">
        <v>361</v>
      </c>
      <c r="E146" s="61" t="str">
        <f>"Worksheet J ln "&amp;'SWT WS J Misc Exp'!A50&amp;".(E) (Note L)"</f>
        <v>Worksheet J ln 28.(E) (Note L)</v>
      </c>
      <c r="F146" s="61"/>
      <c r="G146" s="289">
        <f>'SWT WS J Misc Exp'!F50</f>
        <v>6050.06</v>
      </c>
      <c r="H146" s="61"/>
      <c r="I146" s="290" t="s">
        <v>268</v>
      </c>
      <c r="J146" s="291">
        <v>1</v>
      </c>
      <c r="K146" s="61"/>
      <c r="L146" s="289">
        <f>J146*G146</f>
        <v>6050.06</v>
      </c>
      <c r="M146" s="279"/>
      <c r="N146" s="279"/>
      <c r="O146" s="61"/>
    </row>
    <row r="147" spans="2:15" ht="16" thickBot="1">
      <c r="B147" s="64">
        <f>+B146+1</f>
        <v>82</v>
      </c>
      <c r="C147" s="65"/>
      <c r="D147" s="57" t="s">
        <v>772</v>
      </c>
      <c r="E147" s="61" t="str">
        <f>"Worksheet S ln "&amp;'SWT WS S Reg Assets'!B33&amp;" (Note V)"</f>
        <v>Worksheet S ln 8 (Note V)</v>
      </c>
      <c r="F147" s="61"/>
      <c r="G147" s="289">
        <f>+'SWT WS S Reg Assets'!I33</f>
        <v>0</v>
      </c>
      <c r="H147" s="61"/>
      <c r="I147" s="290" t="s">
        <v>271</v>
      </c>
      <c r="J147" s="291">
        <f>+$L$221</f>
        <v>1</v>
      </c>
      <c r="K147" s="61"/>
      <c r="L147" s="299">
        <f>J147*G147</f>
        <v>0</v>
      </c>
      <c r="M147" s="279"/>
      <c r="N147" s="279"/>
      <c r="O147" s="61"/>
    </row>
    <row r="148" spans="2:15">
      <c r="B148" s="64">
        <f>+B147+1</f>
        <v>83</v>
      </c>
      <c r="C148" s="65"/>
      <c r="D148" s="57" t="s">
        <v>248</v>
      </c>
      <c r="E148" s="286" t="str">
        <f>"(sum lns "&amp;B142&amp;" to "&amp;B147&amp;")"</f>
        <v>(sum lns 77 to 82)</v>
      </c>
      <c r="F148" s="61"/>
      <c r="G148" s="351">
        <f>SUM(G142:G147)</f>
        <v>95277.098000000027</v>
      </c>
      <c r="H148" s="299"/>
      <c r="I148" s="290"/>
      <c r="J148" s="336"/>
      <c r="K148" s="61"/>
      <c r="L148" s="351">
        <f>SUM(L142:L147)</f>
        <v>95277.098000000027</v>
      </c>
      <c r="M148" s="279"/>
      <c r="N148" s="279"/>
      <c r="O148" s="61"/>
    </row>
    <row r="149" spans="2:15" ht="16" thickBot="1">
      <c r="B149" s="64"/>
      <c r="C149" s="65"/>
      <c r="D149" s="57"/>
      <c r="E149" s="61"/>
      <c r="F149" s="61"/>
      <c r="G149" s="325"/>
      <c r="H149" s="299"/>
      <c r="I149" s="290"/>
      <c r="J149" s="336"/>
      <c r="K149" s="61"/>
      <c r="L149" s="325"/>
      <c r="M149" s="279"/>
      <c r="N149" s="279"/>
      <c r="O149" s="61"/>
    </row>
    <row r="150" spans="2:15">
      <c r="B150" s="64">
        <f>+B148+1</f>
        <v>84</v>
      </c>
      <c r="C150" s="65"/>
      <c r="D150" s="57" t="s">
        <v>249</v>
      </c>
      <c r="E150" s="61" t="str">
        <f>"(ln "&amp;B134&amp;" + ln "&amp;B148&amp;")"</f>
        <v>(ln 70 + ln 83)</v>
      </c>
      <c r="F150" s="61"/>
      <c r="G150" s="299">
        <f>G134+G148</f>
        <v>97123.358000000022</v>
      </c>
      <c r="H150" s="299"/>
      <c r="I150" s="290"/>
      <c r="J150" s="342"/>
      <c r="K150" s="61"/>
      <c r="L150" s="299">
        <f>+L148+L134</f>
        <v>97123.358000000022</v>
      </c>
      <c r="M150" s="279"/>
      <c r="N150" s="279"/>
      <c r="O150" s="61"/>
    </row>
    <row r="151" spans="2:15">
      <c r="B151" s="64"/>
      <c r="C151" s="65"/>
      <c r="D151" s="57"/>
      <c r="E151" s="61"/>
      <c r="F151" s="61"/>
      <c r="G151" s="289"/>
      <c r="H151" s="353"/>
      <c r="I151" s="316"/>
      <c r="J151" s="354"/>
      <c r="K151" s="353"/>
      <c r="L151" s="289"/>
      <c r="M151" s="279"/>
      <c r="N151" s="279"/>
      <c r="O151" s="61"/>
    </row>
    <row r="152" spans="2:15">
      <c r="B152" s="64">
        <f>+B150+1</f>
        <v>85</v>
      </c>
      <c r="C152" s="65"/>
      <c r="D152" s="317" t="s">
        <v>252</v>
      </c>
      <c r="E152" s="290"/>
      <c r="F152" s="290"/>
      <c r="G152" s="289"/>
      <c r="H152" s="353"/>
      <c r="I152" s="316"/>
      <c r="J152" s="353"/>
      <c r="K152" s="353"/>
      <c r="L152" s="289"/>
      <c r="M152" s="279"/>
      <c r="N152" s="279"/>
      <c r="O152" s="61"/>
    </row>
    <row r="153" spans="2:15">
      <c r="B153" s="64">
        <f t="shared" ref="B153:B156" si="8">+B152+1</f>
        <v>86</v>
      </c>
      <c r="C153" s="65"/>
      <c r="D153" s="320" t="s">
        <v>267</v>
      </c>
      <c r="E153" s="286" t="s">
        <v>884</v>
      </c>
      <c r="F153" s="355"/>
      <c r="G153" s="408">
        <v>0</v>
      </c>
      <c r="H153" s="353"/>
      <c r="I153" s="322" t="s">
        <v>259</v>
      </c>
      <c r="J153" s="291">
        <f>+L211</f>
        <v>1</v>
      </c>
      <c r="K153" s="353"/>
      <c r="L153" s="324">
        <f>+G153*J153</f>
        <v>0</v>
      </c>
      <c r="M153" s="279"/>
      <c r="N153" s="279"/>
      <c r="O153" s="61"/>
    </row>
    <row r="154" spans="2:15">
      <c r="B154" s="64">
        <f>+B153+1</f>
        <v>87</v>
      </c>
      <c r="C154" s="65"/>
      <c r="D154" s="317" t="s">
        <v>275</v>
      </c>
      <c r="E154" s="355" t="s">
        <v>885</v>
      </c>
      <c r="F154" s="61"/>
      <c r="G154" s="408">
        <v>0</v>
      </c>
      <c r="H154" s="299"/>
      <c r="I154" s="290" t="s">
        <v>271</v>
      </c>
      <c r="J154" s="291">
        <f>+$L$221</f>
        <v>1</v>
      </c>
      <c r="K154" s="61"/>
      <c r="L154" s="299">
        <f>+J154*G154</f>
        <v>0</v>
      </c>
      <c r="M154" s="279"/>
      <c r="N154" s="279"/>
      <c r="O154" s="61"/>
    </row>
    <row r="155" spans="2:15" ht="16" thickBot="1">
      <c r="B155" s="64">
        <f t="shared" si="8"/>
        <v>88</v>
      </c>
      <c r="C155" s="65"/>
      <c r="D155" s="317" t="s">
        <v>276</v>
      </c>
      <c r="E155" s="355" t="s">
        <v>672</v>
      </c>
      <c r="F155" s="61"/>
      <c r="G155" s="408">
        <v>0</v>
      </c>
      <c r="H155" s="299"/>
      <c r="I155" s="290" t="s">
        <v>271</v>
      </c>
      <c r="J155" s="291">
        <f>+L221</f>
        <v>1</v>
      </c>
      <c r="K155" s="61"/>
      <c r="L155" s="325">
        <f>+J155*G155</f>
        <v>0</v>
      </c>
      <c r="M155" s="279"/>
      <c r="N155" s="279"/>
      <c r="O155" s="61"/>
    </row>
    <row r="156" spans="2:15">
      <c r="B156" s="64">
        <f t="shared" si="8"/>
        <v>89</v>
      </c>
      <c r="C156" s="65"/>
      <c r="D156" s="317" t="s">
        <v>386</v>
      </c>
      <c r="E156" s="286" t="str">
        <f>"(sum lns "&amp;B153&amp;" to "&amp;B155&amp;")"</f>
        <v>(sum lns 86 to 88)</v>
      </c>
      <c r="F156" s="61"/>
      <c r="G156" s="351">
        <f>SUM(G153:G155)</f>
        <v>0</v>
      </c>
      <c r="H156" s="61"/>
      <c r="I156" s="290"/>
      <c r="J156" s="61"/>
      <c r="K156" s="61"/>
      <c r="L156" s="299">
        <f>SUM(L153:L155)</f>
        <v>0</v>
      </c>
      <c r="M156" s="279"/>
      <c r="N156" s="279"/>
      <c r="O156" s="61"/>
    </row>
    <row r="157" spans="2:15">
      <c r="B157" s="64"/>
      <c r="C157" s="65"/>
      <c r="D157" s="317"/>
      <c r="E157" s="286"/>
      <c r="F157" s="61"/>
      <c r="G157" s="299"/>
      <c r="H157" s="61"/>
      <c r="I157" s="290"/>
      <c r="J157" s="61"/>
      <c r="K157" s="61"/>
      <c r="L157" s="299"/>
      <c r="M157" s="279"/>
      <c r="N157" s="279"/>
      <c r="O157" s="61"/>
    </row>
    <row r="158" spans="2:15">
      <c r="B158" s="64">
        <f>+B156+1</f>
        <v>90</v>
      </c>
      <c r="C158" s="65"/>
      <c r="D158" s="317" t="s">
        <v>211</v>
      </c>
      <c r="E158" s="61" t="s">
        <v>414</v>
      </c>
      <c r="G158" s="299"/>
      <c r="H158" s="61"/>
      <c r="I158" s="290"/>
      <c r="J158" s="61"/>
      <c r="K158" s="61"/>
      <c r="L158" s="299"/>
      <c r="M158" s="279"/>
      <c r="N158" s="279"/>
      <c r="O158" s="61"/>
    </row>
    <row r="159" spans="2:15">
      <c r="B159" s="64">
        <f t="shared" ref="B159:B165" si="9">+B158+1</f>
        <v>91</v>
      </c>
      <c r="C159" s="65"/>
      <c r="D159" s="317" t="s">
        <v>277</v>
      </c>
      <c r="G159" s="299"/>
      <c r="H159" s="61"/>
      <c r="I159" s="290"/>
      <c r="K159" s="61"/>
      <c r="L159" s="299"/>
      <c r="M159" s="279"/>
      <c r="N159" s="279"/>
      <c r="O159" s="61"/>
    </row>
    <row r="160" spans="2:15">
      <c r="B160" s="64">
        <f t="shared" si="9"/>
        <v>92</v>
      </c>
      <c r="C160" s="65"/>
      <c r="D160" s="317" t="s">
        <v>278</v>
      </c>
      <c r="E160" s="61" t="s">
        <v>187</v>
      </c>
      <c r="F160" s="61"/>
      <c r="G160" s="299">
        <f>+'SWT WS L Other Taxes'!I54</f>
        <v>0</v>
      </c>
      <c r="H160" s="299"/>
      <c r="I160" s="290" t="s">
        <v>271</v>
      </c>
      <c r="J160" s="291">
        <f>+L221</f>
        <v>1</v>
      </c>
      <c r="K160" s="61"/>
      <c r="L160" s="299">
        <f>+J160*G160</f>
        <v>0</v>
      </c>
      <c r="M160" s="279"/>
      <c r="N160" s="279"/>
      <c r="O160" s="61"/>
    </row>
    <row r="161" spans="2:15">
      <c r="B161" s="64">
        <f t="shared" si="9"/>
        <v>93</v>
      </c>
      <c r="C161" s="65"/>
      <c r="D161" s="317" t="s">
        <v>279</v>
      </c>
      <c r="E161" s="61" t="s">
        <v>253</v>
      </c>
      <c r="F161" s="61"/>
      <c r="G161" s="299"/>
      <c r="H161" s="299"/>
      <c r="I161" s="290"/>
      <c r="K161" s="61"/>
      <c r="L161" s="299"/>
      <c r="M161" s="279"/>
      <c r="N161" s="279"/>
      <c r="O161" s="61"/>
    </row>
    <row r="162" spans="2:15">
      <c r="B162" s="64">
        <f t="shared" si="9"/>
        <v>94</v>
      </c>
      <c r="C162" s="65"/>
      <c r="D162" s="317" t="s">
        <v>280</v>
      </c>
      <c r="E162" s="61" t="s">
        <v>188</v>
      </c>
      <c r="F162" s="61"/>
      <c r="G162" s="299">
        <f>+'SWT WS L Other Taxes'!G54</f>
        <v>0</v>
      </c>
      <c r="H162" s="299"/>
      <c r="I162" s="290" t="s">
        <v>606</v>
      </c>
      <c r="J162" s="291">
        <f>+J63</f>
        <v>1</v>
      </c>
      <c r="K162" s="61"/>
      <c r="L162" s="299">
        <f>+G162*J162</f>
        <v>0</v>
      </c>
      <c r="M162" s="279"/>
      <c r="N162" s="279"/>
      <c r="O162" s="61"/>
    </row>
    <row r="163" spans="2:15">
      <c r="B163" s="64">
        <f t="shared" si="9"/>
        <v>95</v>
      </c>
      <c r="C163" s="65"/>
      <c r="D163" s="317" t="s">
        <v>837</v>
      </c>
      <c r="E163" s="61" t="s">
        <v>189</v>
      </c>
      <c r="F163" s="61"/>
      <c r="G163" s="299">
        <f>+'SWT WS L Other Taxes'!M54</f>
        <v>0</v>
      </c>
      <c r="H163" s="279"/>
      <c r="I163" s="290" t="s">
        <v>266</v>
      </c>
      <c r="J163" s="291">
        <v>0</v>
      </c>
      <c r="K163" s="61"/>
      <c r="L163" s="299">
        <f>+J163*G163</f>
        <v>0</v>
      </c>
      <c r="M163" s="279"/>
      <c r="N163" s="279"/>
      <c r="O163" s="61"/>
    </row>
    <row r="164" spans="2:15" ht="16" thickBot="1">
      <c r="B164" s="64">
        <f t="shared" si="9"/>
        <v>96</v>
      </c>
      <c r="C164" s="65"/>
      <c r="D164" s="317" t="s">
        <v>317</v>
      </c>
      <c r="E164" s="61" t="s">
        <v>190</v>
      </c>
      <c r="F164" s="61"/>
      <c r="G164" s="325">
        <f>+'SWT WS L Other Taxes'!K54</f>
        <v>0</v>
      </c>
      <c r="H164" s="279"/>
      <c r="I164" s="290" t="s">
        <v>606</v>
      </c>
      <c r="J164" s="291">
        <f>+J63</f>
        <v>1</v>
      </c>
      <c r="K164" s="61"/>
      <c r="L164" s="325">
        <f>+J164*G164</f>
        <v>0</v>
      </c>
      <c r="M164" s="279"/>
      <c r="N164" s="279"/>
      <c r="O164" s="61"/>
    </row>
    <row r="165" spans="2:15">
      <c r="B165" s="64">
        <f t="shared" si="9"/>
        <v>97</v>
      </c>
      <c r="C165" s="65"/>
      <c r="D165" s="317" t="s">
        <v>212</v>
      </c>
      <c r="E165" s="286" t="str">
        <f>"(sum lns "&amp;B160&amp;" to "&amp;B164&amp;")"</f>
        <v>(sum lns 92 to 96)</v>
      </c>
      <c r="F165" s="61"/>
      <c r="G165" s="299">
        <f>SUM(G160:G164)</f>
        <v>0</v>
      </c>
      <c r="H165" s="61"/>
      <c r="I165" s="290"/>
      <c r="J165" s="356"/>
      <c r="K165" s="61"/>
      <c r="L165" s="299">
        <f>SUM(L160:L164)</f>
        <v>0</v>
      </c>
      <c r="M165" s="279"/>
      <c r="N165" s="279"/>
      <c r="O165" s="61"/>
    </row>
    <row r="166" spans="2:15">
      <c r="B166" s="64"/>
      <c r="C166" s="65"/>
      <c r="D166" s="317"/>
      <c r="E166" s="61"/>
      <c r="F166" s="61"/>
      <c r="G166" s="61"/>
      <c r="H166" s="61"/>
      <c r="I166" s="290"/>
      <c r="J166" s="356"/>
      <c r="K166" s="61"/>
      <c r="L166" s="61"/>
      <c r="M166" s="279"/>
      <c r="N166" s="279"/>
      <c r="O166" s="61"/>
    </row>
    <row r="167" spans="2:15">
      <c r="B167" s="64">
        <f>+B165+1</f>
        <v>98</v>
      </c>
      <c r="C167" s="65"/>
      <c r="D167" s="317" t="s">
        <v>404</v>
      </c>
      <c r="E167" s="61" t="s">
        <v>413</v>
      </c>
      <c r="F167" s="357"/>
      <c r="G167" s="61"/>
      <c r="H167" s="279"/>
      <c r="I167" s="100"/>
      <c r="K167" s="61"/>
      <c r="M167" s="279"/>
      <c r="N167" s="279"/>
      <c r="O167" s="61"/>
    </row>
    <row r="168" spans="2:15">
      <c r="B168" s="64">
        <f t="shared" ref="B168:B175" si="10">+B167+1</f>
        <v>99</v>
      </c>
      <c r="C168" s="65"/>
      <c r="D168" s="358" t="s">
        <v>405</v>
      </c>
      <c r="E168" s="61"/>
      <c r="F168" s="359"/>
      <c r="G168" s="360">
        <f>IF(F317&gt;0,1-(((1-F318)*(1-F317))/(1-F318*F317*F319)),0)</f>
        <v>0.27319999999999989</v>
      </c>
      <c r="H168" s="361"/>
      <c r="I168" s="100"/>
      <c r="J168" s="361"/>
      <c r="K168" s="61"/>
      <c r="M168" s="279"/>
      <c r="N168" s="279"/>
      <c r="O168" s="61"/>
    </row>
    <row r="169" spans="2:15">
      <c r="B169" s="64">
        <f t="shared" si="10"/>
        <v>100</v>
      </c>
      <c r="C169" s="65"/>
      <c r="D169" s="82" t="s">
        <v>406</v>
      </c>
      <c r="E169" s="61"/>
      <c r="F169" s="359"/>
      <c r="G169" s="360">
        <f>IF(L235&gt;0,($G168/(1-$G168))*(1-$L235/$L238),0)</f>
        <v>0</v>
      </c>
      <c r="H169" s="361"/>
      <c r="I169" s="100"/>
      <c r="K169" s="61"/>
      <c r="M169" s="279"/>
      <c r="N169" s="279"/>
      <c r="O169" s="61"/>
    </row>
    <row r="170" spans="2:15">
      <c r="B170" s="64">
        <f t="shared" si="10"/>
        <v>101</v>
      </c>
      <c r="C170" s="65"/>
      <c r="D170" s="317" t="str">
        <f>"       where WCLTD=(ln "&amp;B235&amp;") and WACC = (ln "&amp;B238&amp;")"</f>
        <v xml:space="preserve">       where WCLTD=(ln 141) and WACC = (ln 144)</v>
      </c>
      <c r="E170" s="61"/>
      <c r="F170" s="357"/>
      <c r="G170" s="61"/>
      <c r="H170" s="279"/>
      <c r="I170" s="100"/>
      <c r="J170" s="362"/>
      <c r="K170" s="61"/>
      <c r="L170" s="363"/>
      <c r="M170" s="279"/>
      <c r="N170" s="279"/>
      <c r="O170" s="61"/>
    </row>
    <row r="171" spans="2:15">
      <c r="B171" s="64">
        <f t="shared" si="10"/>
        <v>102</v>
      </c>
      <c r="C171" s="65"/>
      <c r="D171" s="317" t="s">
        <v>412</v>
      </c>
      <c r="E171" s="364"/>
      <c r="F171" s="359"/>
      <c r="G171" s="61"/>
      <c r="H171" s="279"/>
      <c r="I171" s="100"/>
      <c r="J171" s="362"/>
      <c r="K171" s="61"/>
      <c r="M171" s="279"/>
      <c r="N171" s="279"/>
      <c r="O171" s="61"/>
    </row>
    <row r="172" spans="2:15">
      <c r="B172" s="64">
        <f t="shared" si="10"/>
        <v>103</v>
      </c>
      <c r="C172" s="65"/>
      <c r="D172" s="358" t="str">
        <f>"      GRCF=1 / (1 - T)  = (from ln "&amp;B168&amp;")"</f>
        <v xml:space="preserve">      GRCF=1 / (1 - T)  = (from ln 99)</v>
      </c>
      <c r="E172" s="357"/>
      <c r="F172" s="357"/>
      <c r="G172" s="365">
        <f>IF(G168&gt;0,1/(1-G168),0)</f>
        <v>1.3758943313153547</v>
      </c>
      <c r="H172" s="279"/>
      <c r="I172" s="308"/>
      <c r="J172" s="366"/>
      <c r="K172" s="299"/>
      <c r="L172" s="307"/>
      <c r="M172" s="279"/>
      <c r="N172" s="279"/>
      <c r="O172" s="61"/>
    </row>
    <row r="173" spans="2:15">
      <c r="B173" s="64">
        <f t="shared" si="10"/>
        <v>104</v>
      </c>
      <c r="C173" s="65"/>
      <c r="D173" s="317" t="s">
        <v>407</v>
      </c>
      <c r="E173" s="336" t="s">
        <v>178</v>
      </c>
      <c r="F173" s="357"/>
      <c r="G173" s="408">
        <v>0</v>
      </c>
      <c r="H173" s="279"/>
      <c r="I173" s="308"/>
      <c r="J173" s="367"/>
      <c r="K173" s="299"/>
      <c r="M173" s="279"/>
      <c r="N173" s="279"/>
      <c r="O173" s="61"/>
    </row>
    <row r="174" spans="2:15">
      <c r="B174" s="64">
        <f t="shared" si="10"/>
        <v>105</v>
      </c>
      <c r="C174" s="65"/>
      <c r="D174" s="113" t="s">
        <v>502</v>
      </c>
      <c r="E174" s="336" t="str">
        <f xml:space="preserve"> "Company Records (Note O) and WS C-4 Ln "&amp;'SWT WS C-4 Excess FIT'!A49</f>
        <v>Company Records (Note O) and WS C-4 Ln 24</v>
      </c>
      <c r="F174" s="357"/>
      <c r="G174" s="408"/>
      <c r="H174" s="279"/>
      <c r="I174" s="308" t="s">
        <v>268</v>
      </c>
      <c r="J174" s="367"/>
      <c r="K174" s="1437"/>
      <c r="L174" s="289">
        <f>+'SWT WS C-4 Excess FIT'!D49</f>
        <v>1862.0619999999999</v>
      </c>
      <c r="M174" s="279"/>
      <c r="N174" s="279"/>
      <c r="O174" s="61"/>
    </row>
    <row r="175" spans="2:15">
      <c r="B175" s="64">
        <f t="shared" si="10"/>
        <v>106</v>
      </c>
      <c r="C175" s="65"/>
      <c r="D175" s="113" t="s">
        <v>589</v>
      </c>
      <c r="E175" s="336" t="s">
        <v>671</v>
      </c>
      <c r="F175" s="357"/>
      <c r="G175" s="408"/>
      <c r="H175" s="279"/>
      <c r="I175" s="308" t="s">
        <v>268</v>
      </c>
      <c r="J175" s="367"/>
      <c r="K175" s="1437"/>
      <c r="L175" s="408"/>
      <c r="M175" s="279"/>
      <c r="N175" s="279"/>
      <c r="O175" s="61"/>
    </row>
    <row r="176" spans="2:15">
      <c r="B176" s="64"/>
      <c r="C176" s="65"/>
      <c r="D176" s="317"/>
      <c r="E176" s="61"/>
      <c r="F176" s="359"/>
      <c r="G176" s="299"/>
      <c r="H176" s="279"/>
      <c r="I176" s="308"/>
      <c r="J176" s="363"/>
      <c r="K176" s="299"/>
      <c r="M176" s="279"/>
      <c r="N176" s="279"/>
      <c r="O176" s="61"/>
    </row>
    <row r="177" spans="2:15">
      <c r="B177" s="64">
        <f>+B175+1</f>
        <v>107</v>
      </c>
      <c r="C177" s="65"/>
      <c r="D177" s="358" t="s">
        <v>420</v>
      </c>
      <c r="E177" s="368" t="str">
        <f>"(ln "&amp;B169&amp;" * ln "&amp;B184&amp;")"</f>
        <v>(ln 100 * ln 112)</v>
      </c>
      <c r="F177" s="369"/>
      <c r="G177" s="299">
        <f>+G169*G184</f>
        <v>0</v>
      </c>
      <c r="H177" s="279"/>
      <c r="I177" s="308"/>
      <c r="J177" s="363"/>
      <c r="K177" s="299"/>
      <c r="L177" s="299">
        <f>+L184*G169</f>
        <v>0</v>
      </c>
      <c r="M177" s="279"/>
      <c r="N177" s="279"/>
      <c r="O177" s="61"/>
    </row>
    <row r="178" spans="2:15">
      <c r="B178" s="64">
        <f>+B177+1</f>
        <v>108</v>
      </c>
      <c r="C178" s="65"/>
      <c r="D178" s="82" t="s">
        <v>421</v>
      </c>
      <c r="E178" s="368" t="str">
        <f>"(ln "&amp;B172&amp;" * ln "&amp;B173&amp;")"</f>
        <v>(ln 103 * ln 104)</v>
      </c>
      <c r="F178" s="368"/>
      <c r="G178" s="289">
        <f>G172*G173</f>
        <v>0</v>
      </c>
      <c r="H178" s="279"/>
      <c r="I178" s="65" t="s">
        <v>606</v>
      </c>
      <c r="J178" s="291">
        <f>+J63</f>
        <v>1</v>
      </c>
      <c r="K178" s="299"/>
      <c r="L178" s="289">
        <f>+G178*J178</f>
        <v>0</v>
      </c>
      <c r="M178" s="279"/>
      <c r="N178" s="279"/>
      <c r="O178" s="61"/>
    </row>
    <row r="179" spans="2:15">
      <c r="B179" s="64">
        <f>+B178+1</f>
        <v>109</v>
      </c>
      <c r="C179" s="65"/>
      <c r="D179" s="113" t="s">
        <v>502</v>
      </c>
      <c r="E179" s="368" t="str">
        <f>"(ln "&amp;B172&amp;" * ln "&amp;B174&amp;")"</f>
        <v>(ln 103 * ln 105)</v>
      </c>
      <c r="F179" s="368"/>
      <c r="G179" s="289">
        <f>G172*G174</f>
        <v>0</v>
      </c>
      <c r="H179" s="279"/>
      <c r="I179" s="308" t="s">
        <v>268</v>
      </c>
      <c r="J179" s="291"/>
      <c r="K179" s="299"/>
      <c r="L179" s="289">
        <f>G172*L174</f>
        <v>2562.0005503577318</v>
      </c>
      <c r="M179" s="279"/>
      <c r="N179" s="279"/>
      <c r="O179" s="61"/>
    </row>
    <row r="180" spans="2:15">
      <c r="B180" s="64">
        <f>+B179+1</f>
        <v>110</v>
      </c>
      <c r="C180" s="65"/>
      <c r="D180" s="113" t="s">
        <v>589</v>
      </c>
      <c r="E180" s="368" t="str">
        <f>"(ln "&amp;B172&amp;" * ln "&amp;B175&amp;")"</f>
        <v>(ln 103 * ln 106)</v>
      </c>
      <c r="F180" s="368"/>
      <c r="G180" s="289">
        <f>G172*G175</f>
        <v>0</v>
      </c>
      <c r="H180" s="279"/>
      <c r="I180" s="308" t="s">
        <v>268</v>
      </c>
      <c r="J180" s="291"/>
      <c r="K180" s="299"/>
      <c r="L180" s="289">
        <f>G172*L175</f>
        <v>0</v>
      </c>
      <c r="M180" s="279"/>
      <c r="N180" s="279"/>
      <c r="O180" s="61"/>
    </row>
    <row r="181" spans="2:15">
      <c r="B181" s="64"/>
      <c r="C181" s="65"/>
      <c r="D181" s="113"/>
      <c r="E181" s="368"/>
      <c r="F181" s="368"/>
      <c r="G181" s="289"/>
      <c r="H181" s="279"/>
      <c r="I181" s="370"/>
      <c r="J181" s="291"/>
      <c r="K181" s="299"/>
      <c r="L181" s="289"/>
      <c r="M181" s="279"/>
      <c r="N181" s="279"/>
      <c r="O181" s="61"/>
    </row>
    <row r="182" spans="2:15">
      <c r="B182" s="64">
        <f>+B180+1</f>
        <v>111</v>
      </c>
      <c r="C182" s="65"/>
      <c r="D182" s="358" t="s">
        <v>213</v>
      </c>
      <c r="E182" s="61" t="str">
        <f>"(sum lns "&amp;B177&amp;" to "&amp;B180&amp;")"</f>
        <v>(sum lns 107 to 110)</v>
      </c>
      <c r="F182" s="368"/>
      <c r="G182" s="370">
        <f>SUM(G177:G180)</f>
        <v>0</v>
      </c>
      <c r="H182" s="279"/>
      <c r="I182" s="308" t="s">
        <v>253</v>
      </c>
      <c r="J182" s="371"/>
      <c r="K182" s="299"/>
      <c r="L182" s="299">
        <f>SUM(L177:L180)</f>
        <v>2562.0005503577318</v>
      </c>
      <c r="M182" s="279"/>
      <c r="N182" s="279"/>
      <c r="O182" s="61"/>
    </row>
    <row r="183" spans="2:15">
      <c r="B183" s="64"/>
      <c r="C183" s="65"/>
      <c r="D183" s="317"/>
      <c r="E183" s="61"/>
      <c r="F183" s="61"/>
      <c r="G183" s="61"/>
      <c r="H183" s="61"/>
      <c r="I183" s="290"/>
      <c r="J183" s="356"/>
      <c r="K183" s="61"/>
      <c r="L183" s="61"/>
      <c r="M183" s="279"/>
      <c r="N183" s="279"/>
      <c r="O183" s="61"/>
    </row>
    <row r="184" spans="2:15">
      <c r="B184" s="64">
        <f>+B182+1</f>
        <v>112</v>
      </c>
      <c r="C184" s="65"/>
      <c r="D184" s="358" t="s">
        <v>334</v>
      </c>
      <c r="E184" s="358" t="str">
        <f>"(ln "&amp;B113&amp;" * ln "&amp;B238&amp;")"</f>
        <v>(ln 63 * ln 144)</v>
      </c>
      <c r="F184" s="340"/>
      <c r="G184" s="299">
        <f>+$L238*G113</f>
        <v>0</v>
      </c>
      <c r="H184" s="61"/>
      <c r="I184" s="308"/>
      <c r="J184" s="299"/>
      <c r="K184" s="299"/>
      <c r="L184" s="1971">
        <f>+L255*L113</f>
        <v>1147.0294165799876</v>
      </c>
      <c r="M184" s="279"/>
      <c r="N184" s="279"/>
    </row>
    <row r="185" spans="2:15">
      <c r="B185" s="64"/>
      <c r="C185" s="65"/>
      <c r="D185" s="358"/>
      <c r="G185" s="299"/>
      <c r="H185" s="299"/>
      <c r="I185" s="308"/>
      <c r="J185" s="308"/>
      <c r="K185" s="299"/>
      <c r="L185" s="299"/>
      <c r="M185" s="279"/>
      <c r="N185" s="279"/>
    </row>
    <row r="186" spans="2:15">
      <c r="B186" s="64">
        <f>+B184+1</f>
        <v>113</v>
      </c>
      <c r="C186" s="65"/>
      <c r="D186" s="372" t="str">
        <f>"INTEREST ON IPP CONTRIBUTION FOR CONST. (Note E) (Worksheet E, ln "&amp;'SWT WS E IPP Credits'!A12&amp;")"</f>
        <v>INTEREST ON IPP CONTRIBUTION FOR CONST. (Note E) (Worksheet E, ln 2)</v>
      </c>
      <c r="F186" s="355"/>
      <c r="G186" s="299">
        <f>'SWT WS E IPP Credits'!C12</f>
        <v>0</v>
      </c>
      <c r="H186" s="299"/>
      <c r="I186" s="343" t="s">
        <v>268</v>
      </c>
      <c r="J186" s="291">
        <v>1</v>
      </c>
      <c r="K186" s="324"/>
      <c r="L186" s="299">
        <f>+J186*G186</f>
        <v>0</v>
      </c>
      <c r="M186" s="279"/>
      <c r="N186" s="279"/>
    </row>
    <row r="187" spans="2:15" ht="16" thickBot="1">
      <c r="B187" s="64"/>
      <c r="C187" s="65"/>
      <c r="D187" s="317"/>
      <c r="G187" s="325"/>
      <c r="H187" s="373"/>
      <c r="I187" s="308"/>
      <c r="J187" s="308"/>
      <c r="K187" s="299"/>
      <c r="L187" s="325"/>
      <c r="M187" s="279"/>
      <c r="N187" s="279"/>
    </row>
    <row r="188" spans="2:15" ht="16" thickBot="1">
      <c r="B188" s="64">
        <f>+B186+1</f>
        <v>114</v>
      </c>
      <c r="C188" s="65"/>
      <c r="D188" s="57" t="s">
        <v>143</v>
      </c>
      <c r="E188" s="374"/>
      <c r="F188" s="374"/>
      <c r="G188" s="344">
        <f>G150+G156+G165+G182+G184+G186</f>
        <v>97123.358000000022</v>
      </c>
      <c r="H188" s="299"/>
      <c r="I188" s="308"/>
      <c r="J188" s="342"/>
      <c r="K188" s="299"/>
      <c r="L188" s="344">
        <f>L150+L156+L165+L182+L184+L186</f>
        <v>100832.38796693773</v>
      </c>
      <c r="M188" s="279"/>
      <c r="N188" s="279"/>
    </row>
    <row r="189" spans="2:15" ht="16" thickTop="1">
      <c r="B189" s="64">
        <f>+B188+1</f>
        <v>115</v>
      </c>
      <c r="C189" s="65"/>
      <c r="D189" s="57" t="str">
        <f>"    (sum lns "&amp;B150&amp;", "&amp;B156&amp;", "&amp;B165&amp;", "&amp;B182&amp;", "&amp;B184&amp;", "&amp;B186&amp;")"</f>
        <v xml:space="preserve">    (sum lns 84, 89, 97, 111, 112, 113)</v>
      </c>
      <c r="E189" s="374"/>
      <c r="F189" s="374"/>
      <c r="G189" s="289"/>
      <c r="H189" s="299"/>
      <c r="I189" s="299"/>
      <c r="J189" s="342"/>
      <c r="K189" s="299"/>
      <c r="L189" s="289"/>
      <c r="M189" s="279"/>
      <c r="N189" s="279"/>
    </row>
    <row r="190" spans="2:15">
      <c r="B190" s="64"/>
      <c r="C190" s="65"/>
      <c r="D190" s="57"/>
      <c r="E190" s="374"/>
      <c r="F190" s="374"/>
      <c r="G190" s="289"/>
      <c r="H190" s="299"/>
      <c r="I190" s="299"/>
      <c r="J190" s="342"/>
      <c r="K190" s="299"/>
      <c r="L190" s="289"/>
      <c r="M190" s="279"/>
      <c r="N190" s="279"/>
    </row>
    <row r="191" spans="2:15">
      <c r="B191" s="64">
        <f>+B189+1</f>
        <v>116</v>
      </c>
      <c r="C191" s="65"/>
      <c r="D191" s="57" t="s">
        <v>411</v>
      </c>
      <c r="F191" s="374"/>
      <c r="G191" s="305">
        <f>+'SWT WS K State Taxes'!I48</f>
        <v>0</v>
      </c>
      <c r="H191" s="299"/>
      <c r="I191" s="308" t="s">
        <v>268</v>
      </c>
      <c r="J191" s="342"/>
      <c r="K191" s="299"/>
      <c r="L191" s="305">
        <f>+'SWT WS K State Taxes'!K48</f>
        <v>0</v>
      </c>
      <c r="M191" s="279"/>
      <c r="N191" s="279"/>
    </row>
    <row r="192" spans="2:15">
      <c r="B192" s="64"/>
      <c r="C192" s="279"/>
      <c r="D192" s="279"/>
      <c r="E192" s="279"/>
      <c r="F192" s="279"/>
      <c r="G192" s="279"/>
      <c r="H192" s="279"/>
      <c r="I192" s="275"/>
      <c r="J192" s="331"/>
      <c r="K192" s="275"/>
      <c r="M192" s="279"/>
      <c r="N192" s="279"/>
    </row>
    <row r="193" spans="2:16" ht="16" thickBot="1">
      <c r="B193" s="64">
        <f>+B191+1</f>
        <v>117</v>
      </c>
      <c r="C193" s="65"/>
      <c r="D193" s="53" t="s">
        <v>652</v>
      </c>
      <c r="E193" s="61" t="str">
        <f>"(ln "&amp;B188&amp;" + "&amp;B191&amp;")"</f>
        <v>(ln 114 + 116)</v>
      </c>
      <c r="G193" s="375">
        <f>+G188+G191</f>
        <v>97123.358000000022</v>
      </c>
      <c r="J193" s="342"/>
      <c r="L193" s="375">
        <f>+L188+L191</f>
        <v>100832.38796693773</v>
      </c>
      <c r="M193" s="279"/>
      <c r="N193" s="279"/>
    </row>
    <row r="194" spans="2:16" ht="16" thickTop="1">
      <c r="B194" s="64"/>
      <c r="C194" s="65"/>
      <c r="D194" s="57"/>
      <c r="F194" s="376"/>
      <c r="M194" s="279"/>
      <c r="N194" s="279"/>
    </row>
    <row r="195" spans="2:16">
      <c r="B195" s="64"/>
      <c r="C195" s="65"/>
      <c r="F195" s="376"/>
      <c r="M195" s="279"/>
      <c r="N195" s="279"/>
    </row>
    <row r="196" spans="2:16">
      <c r="B196" s="64"/>
      <c r="C196" s="65"/>
      <c r="D196" s="57"/>
      <c r="F196" s="100" t="str">
        <f>F116</f>
        <v xml:space="preserve">AEP West SPP Member Transmission Companies </v>
      </c>
      <c r="M196" s="279"/>
      <c r="N196" s="279"/>
    </row>
    <row r="197" spans="2:16">
      <c r="B197" s="64"/>
      <c r="C197" s="65"/>
      <c r="D197" s="57"/>
      <c r="F197" s="100" t="str">
        <f>F117</f>
        <v>Transmission Cost of Service Formula Rate</v>
      </c>
      <c r="M197" s="279"/>
      <c r="N197" s="279"/>
    </row>
    <row r="198" spans="2:16">
      <c r="B198" s="53"/>
      <c r="C198" s="65"/>
      <c r="F198" s="100" t="str">
        <f>F118</f>
        <v>Utilizing Actual / Projected Cost Data for the 2019 Rate Year</v>
      </c>
      <c r="M198" s="279"/>
      <c r="N198" s="279"/>
    </row>
    <row r="199" spans="2:16">
      <c r="B199" s="64"/>
      <c r="C199" s="65"/>
      <c r="E199" s="100"/>
      <c r="F199" s="100"/>
      <c r="G199" s="100"/>
      <c r="H199" s="100"/>
      <c r="I199" s="100"/>
      <c r="J199" s="100"/>
      <c r="K199" s="100"/>
      <c r="M199" s="279"/>
      <c r="N199" s="279"/>
    </row>
    <row r="200" spans="2:16">
      <c r="B200" s="64"/>
      <c r="C200" s="65"/>
      <c r="E200" s="57"/>
      <c r="F200" s="100" t="str">
        <f>F120</f>
        <v>AEP SOUTHWESTERN TRANSMISSION COMPANY</v>
      </c>
      <c r="G200" s="57"/>
      <c r="H200" s="57"/>
      <c r="I200" s="57"/>
      <c r="J200" s="57"/>
      <c r="K200" s="57"/>
      <c r="L200" s="57"/>
      <c r="M200" s="279"/>
      <c r="N200" s="279"/>
    </row>
    <row r="201" spans="2:16">
      <c r="B201" s="64"/>
      <c r="C201" s="65"/>
      <c r="E201" s="57"/>
      <c r="F201" s="100"/>
      <c r="G201" s="299"/>
      <c r="H201" s="57"/>
      <c r="I201" s="57"/>
      <c r="J201" s="57"/>
      <c r="K201" s="57"/>
      <c r="L201" s="299"/>
      <c r="M201" s="279"/>
      <c r="N201" s="279"/>
    </row>
    <row r="202" spans="2:16">
      <c r="B202" s="64"/>
      <c r="C202" s="65"/>
      <c r="F202" s="71" t="s">
        <v>217</v>
      </c>
      <c r="H202" s="60"/>
      <c r="I202" s="60"/>
      <c r="J202" s="60"/>
      <c r="K202" s="60"/>
      <c r="L202" s="60"/>
      <c r="M202" s="279"/>
      <c r="N202" s="279"/>
    </row>
    <row r="203" spans="2:16">
      <c r="B203" s="64"/>
      <c r="C203" s="65"/>
      <c r="D203" s="377"/>
      <c r="E203" s="60"/>
      <c r="F203" s="60"/>
      <c r="G203" s="60"/>
      <c r="H203" s="60"/>
      <c r="I203" s="60"/>
      <c r="J203" s="60"/>
      <c r="K203" s="60"/>
      <c r="L203" s="60"/>
      <c r="M203" s="279"/>
      <c r="N203" s="279"/>
    </row>
    <row r="204" spans="2:16">
      <c r="B204" s="64" t="s">
        <v>255</v>
      </c>
      <c r="C204" s="65"/>
      <c r="D204" s="377"/>
      <c r="E204" s="60"/>
      <c r="F204" s="60"/>
      <c r="G204" s="60"/>
      <c r="H204" s="60"/>
      <c r="I204" s="60"/>
      <c r="J204" s="60"/>
      <c r="K204" s="60"/>
      <c r="L204" s="60"/>
      <c r="M204" s="279"/>
      <c r="N204" s="279"/>
    </row>
    <row r="205" spans="2:16" ht="16" thickBot="1">
      <c r="B205" s="73" t="s">
        <v>256</v>
      </c>
      <c r="C205" s="74"/>
      <c r="D205" s="57" t="s">
        <v>924</v>
      </c>
      <c r="E205" s="60"/>
      <c r="F205" s="60"/>
      <c r="G205" s="60"/>
      <c r="H205" s="60"/>
      <c r="I205" s="60"/>
      <c r="J205" s="60"/>
      <c r="M205" s="279"/>
      <c r="N205" s="279"/>
      <c r="P205" s="279"/>
    </row>
    <row r="206" spans="2:16">
      <c r="B206" s="64">
        <f>+B193+1</f>
        <v>118</v>
      </c>
      <c r="C206" s="65"/>
      <c r="D206" s="60" t="s">
        <v>304</v>
      </c>
      <c r="E206" s="378" t="str">
        <f>"(ln "&amp;B56&amp;")"</f>
        <v>(ln 16)</v>
      </c>
      <c r="F206" s="83"/>
      <c r="H206" s="353"/>
      <c r="I206" s="353"/>
      <c r="J206" s="353"/>
      <c r="K206" s="353"/>
      <c r="L206" s="289">
        <f>+G56</f>
        <v>7.6923076923076925E-7</v>
      </c>
      <c r="M206" s="279"/>
      <c r="N206" s="279"/>
      <c r="P206" s="279"/>
    </row>
    <row r="207" spans="2:16">
      <c r="B207" s="64">
        <f>+B206+1</f>
        <v>119</v>
      </c>
      <c r="C207" s="65"/>
      <c r="D207" s="379" t="str">
        <f>"  Less transmission plant excluded from SPP Tariff  (Worksheet A-1, ln "&amp;'SWT WS A-1 - Plant'!A44&amp;" Col. (F))  (Note Q)"</f>
        <v xml:space="preserve">  Less transmission plant excluded from SPP Tariff  (Worksheet A-1, ln 28 Col. (F))  (Note Q)</v>
      </c>
      <c r="E207" s="82"/>
      <c r="F207" s="82"/>
      <c r="G207" s="380"/>
      <c r="H207" s="82"/>
      <c r="I207" s="82"/>
      <c r="J207" s="82"/>
      <c r="K207" s="82"/>
      <c r="L207" s="305">
        <f>+'SWT WS A-1 - Plant'!G44</f>
        <v>0</v>
      </c>
      <c r="M207" s="279"/>
      <c r="N207" s="279"/>
      <c r="P207" s="279"/>
    </row>
    <row r="208" spans="2:16" ht="16" thickBot="1">
      <c r="B208" s="64">
        <f>+B207+1</f>
        <v>120</v>
      </c>
      <c r="C208" s="65"/>
      <c r="D208" s="83" t="str">
        <f>"  Less transmission plant included in OATT Ancillary Services (Worksheet A-1, ln "&amp;'SWT WS A-1 - Plant'!A44&amp;", Col. (E))  (Note R)"</f>
        <v xml:space="preserve">  Less transmission plant included in OATT Ancillary Services (Worksheet A-1, ln 28, Col. (E))  (Note R)</v>
      </c>
      <c r="E208" s="83"/>
      <c r="F208" s="83"/>
      <c r="G208" s="316"/>
      <c r="H208" s="353"/>
      <c r="I208" s="353"/>
      <c r="J208" s="316"/>
      <c r="K208" s="353"/>
      <c r="L208" s="381">
        <f>+'SWT WS A-1 - Plant'!F44</f>
        <v>0</v>
      </c>
      <c r="M208" s="279"/>
      <c r="N208" s="279"/>
      <c r="P208" s="279"/>
    </row>
    <row r="209" spans="2:16">
      <c r="B209" s="64">
        <f>+B208+1</f>
        <v>121</v>
      </c>
      <c r="C209" s="65"/>
      <c r="D209" s="60" t="s">
        <v>86</v>
      </c>
      <c r="E209" s="382" t="str">
        <f>"(ln "&amp;B206&amp;" - ln "&amp;B207&amp;" - ln "&amp;B208&amp;")"</f>
        <v>(ln 118 - ln 119 - ln 120)</v>
      </c>
      <c r="F209" s="83"/>
      <c r="H209" s="353"/>
      <c r="I209" s="353"/>
      <c r="J209" s="316"/>
      <c r="K209" s="353"/>
      <c r="L209" s="289">
        <f>L206-L207-L208</f>
        <v>7.6923076923076925E-7</v>
      </c>
      <c r="M209" s="279"/>
      <c r="N209" s="279"/>
      <c r="P209" s="279"/>
    </row>
    <row r="210" spans="2:16">
      <c r="B210" s="64"/>
      <c r="C210" s="65"/>
      <c r="E210" s="83"/>
      <c r="F210" s="83"/>
      <c r="G210" s="316"/>
      <c r="H210" s="353"/>
      <c r="I210" s="353"/>
      <c r="J210" s="316"/>
      <c r="K210" s="353"/>
      <c r="L210" s="82"/>
      <c r="M210" s="279"/>
      <c r="N210" s="279"/>
      <c r="P210" s="279"/>
    </row>
    <row r="211" spans="2:16">
      <c r="B211" s="64">
        <f>+B209+1</f>
        <v>122</v>
      </c>
      <c r="C211" s="65"/>
      <c r="D211" s="60" t="s">
        <v>87</v>
      </c>
      <c r="E211" s="376" t="str">
        <f>"(ln "&amp;B209&amp;" / ln "&amp;B206&amp;")"</f>
        <v>(ln 121 / ln 118)</v>
      </c>
      <c r="F211" s="383"/>
      <c r="H211" s="384"/>
      <c r="I211" s="385"/>
      <c r="J211" s="385"/>
      <c r="K211" s="386" t="s">
        <v>281</v>
      </c>
      <c r="L211" s="387">
        <f>IF(L206&gt;0,L209/L206,0)</f>
        <v>1</v>
      </c>
      <c r="M211" s="279"/>
      <c r="N211" s="279"/>
      <c r="P211" s="279"/>
    </row>
    <row r="212" spans="2:16">
      <c r="B212" s="64"/>
      <c r="C212" s="65"/>
      <c r="D212" s="377"/>
      <c r="E212" s="60"/>
      <c r="F212" s="60"/>
      <c r="G212" s="284"/>
      <c r="H212" s="60"/>
      <c r="I212" s="65"/>
      <c r="J212" s="60"/>
      <c r="K212" s="60"/>
      <c r="L212" s="60"/>
      <c r="M212" s="279"/>
      <c r="N212" s="279"/>
    </row>
    <row r="213" spans="2:16" ht="31">
      <c r="B213" s="64">
        <f>B211+1</f>
        <v>123</v>
      </c>
      <c r="C213" s="65"/>
      <c r="D213" s="57" t="s">
        <v>218</v>
      </c>
      <c r="E213" s="290" t="s">
        <v>56</v>
      </c>
      <c r="F213" s="290" t="s">
        <v>320</v>
      </c>
      <c r="G213" s="388" t="s">
        <v>352</v>
      </c>
      <c r="H213" s="100" t="s">
        <v>257</v>
      </c>
      <c r="I213" s="290"/>
      <c r="J213" s="61"/>
      <c r="K213" s="61"/>
      <c r="L213" s="61"/>
      <c r="M213" s="279"/>
      <c r="N213" s="279"/>
    </row>
    <row r="214" spans="2:16">
      <c r="B214" s="64">
        <f t="shared" ref="B214:B219" si="11">+B213+1</f>
        <v>124</v>
      </c>
      <c r="C214" s="65"/>
      <c r="D214" s="57" t="s">
        <v>265</v>
      </c>
      <c r="E214" s="61" t="s">
        <v>59</v>
      </c>
      <c r="F214" s="408">
        <v>0</v>
      </c>
      <c r="G214" s="408"/>
      <c r="H214" s="305">
        <f>+F214+G214</f>
        <v>0</v>
      </c>
      <c r="I214" s="290" t="s">
        <v>266</v>
      </c>
      <c r="J214" s="291">
        <v>0</v>
      </c>
      <c r="K214" s="389"/>
      <c r="L214" s="299">
        <f>(F214+G214)*J214</f>
        <v>0</v>
      </c>
      <c r="M214" s="279"/>
      <c r="N214" s="279"/>
    </row>
    <row r="215" spans="2:16">
      <c r="B215" s="64">
        <f>+B214+1</f>
        <v>125</v>
      </c>
      <c r="C215" s="65"/>
      <c r="D215" s="317" t="s">
        <v>267</v>
      </c>
      <c r="E215" s="61" t="s">
        <v>146</v>
      </c>
      <c r="F215" s="408">
        <v>0</v>
      </c>
      <c r="G215" s="408">
        <v>451.73959357630758</v>
      </c>
      <c r="H215" s="305">
        <f>+F215+G215</f>
        <v>451.73959357630758</v>
      </c>
      <c r="I215" s="65" t="s">
        <v>259</v>
      </c>
      <c r="J215" s="291">
        <f>+L211</f>
        <v>1</v>
      </c>
      <c r="L215" s="289">
        <f>(F215+G215)*J215</f>
        <v>451.73959357630758</v>
      </c>
      <c r="M215" s="279"/>
      <c r="N215" s="279"/>
    </row>
    <row r="216" spans="2:16">
      <c r="B216" s="64">
        <f>+B215+1</f>
        <v>126</v>
      </c>
      <c r="C216" s="65"/>
      <c r="D216" s="317" t="s">
        <v>144</v>
      </c>
      <c r="E216" s="61" t="s">
        <v>145</v>
      </c>
      <c r="F216" s="408">
        <v>0</v>
      </c>
      <c r="G216" s="408"/>
      <c r="H216" s="305">
        <f>+F216+G216</f>
        <v>0</v>
      </c>
      <c r="I216" s="290" t="s">
        <v>266</v>
      </c>
      <c r="J216" s="291">
        <v>0</v>
      </c>
      <c r="K216" s="389"/>
      <c r="L216" s="299">
        <f>(F216+G216)*J216</f>
        <v>0</v>
      </c>
      <c r="M216" s="279"/>
      <c r="N216" s="279"/>
    </row>
    <row r="217" spans="2:16">
      <c r="B217" s="64">
        <f t="shared" si="11"/>
        <v>127</v>
      </c>
      <c r="C217" s="65"/>
      <c r="D217" s="317" t="s">
        <v>269</v>
      </c>
      <c r="E217" s="61" t="s">
        <v>57</v>
      </c>
      <c r="F217" s="408">
        <v>0</v>
      </c>
      <c r="G217" s="408"/>
      <c r="H217" s="305">
        <f>+F217+G217</f>
        <v>0</v>
      </c>
      <c r="I217" s="290" t="s">
        <v>266</v>
      </c>
      <c r="J217" s="291">
        <v>0</v>
      </c>
      <c r="K217" s="389"/>
      <c r="L217" s="299">
        <f>(F217+G217)*J217</f>
        <v>0</v>
      </c>
      <c r="M217" s="279"/>
      <c r="N217" s="279"/>
    </row>
    <row r="218" spans="2:16" ht="16" thickBot="1">
      <c r="B218" s="64">
        <f t="shared" si="11"/>
        <v>128</v>
      </c>
      <c r="C218" s="65"/>
      <c r="D218" s="317" t="s">
        <v>335</v>
      </c>
      <c r="E218" s="390" t="s">
        <v>58</v>
      </c>
      <c r="F218" s="408">
        <v>0</v>
      </c>
      <c r="G218" s="408"/>
      <c r="H218" s="381">
        <f>+F218+G218</f>
        <v>0</v>
      </c>
      <c r="I218" s="290" t="s">
        <v>266</v>
      </c>
      <c r="J218" s="291">
        <v>0</v>
      </c>
      <c r="K218" s="389"/>
      <c r="L218" s="325">
        <f>(F218+G218)*J218</f>
        <v>0</v>
      </c>
      <c r="M218" s="279"/>
      <c r="N218" s="279"/>
    </row>
    <row r="219" spans="2:16">
      <c r="B219" s="64">
        <f t="shared" si="11"/>
        <v>129</v>
      </c>
      <c r="C219" s="65"/>
      <c r="D219" s="317" t="s">
        <v>257</v>
      </c>
      <c r="E219" s="317" t="str">
        <f>"(sum lns "&amp;B214&amp;" to "&amp;B218&amp;")"</f>
        <v>(sum lns 124 to 128)</v>
      </c>
      <c r="F219" s="351">
        <f>SUM(F214:F218)</f>
        <v>0</v>
      </c>
      <c r="G219" s="351">
        <f>SUM(G214:G218)</f>
        <v>451.73959357630758</v>
      </c>
      <c r="H219" s="61">
        <f>SUM(H214:H218)</f>
        <v>451.73959357630758</v>
      </c>
      <c r="I219" s="290"/>
      <c r="J219" s="61"/>
      <c r="K219" s="61"/>
      <c r="L219" s="299">
        <f>SUM(L214:L218)</f>
        <v>451.73959357630758</v>
      </c>
      <c r="M219" s="279"/>
      <c r="N219" s="279"/>
    </row>
    <row r="220" spans="2:16">
      <c r="B220" s="64"/>
      <c r="C220" s="65"/>
      <c r="D220" s="317" t="s">
        <v>253</v>
      </c>
      <c r="E220" s="61" t="s">
        <v>253</v>
      </c>
      <c r="F220" s="61"/>
      <c r="H220" s="61"/>
      <c r="I220" s="100"/>
      <c r="M220" s="279"/>
      <c r="N220" s="279"/>
    </row>
    <row r="221" spans="2:16">
      <c r="B221" s="64">
        <f>B219+1</f>
        <v>130</v>
      </c>
      <c r="C221" s="65"/>
      <c r="D221" s="317" t="s">
        <v>219</v>
      </c>
      <c r="E221" s="61"/>
      <c r="F221" s="61"/>
      <c r="G221" s="61"/>
      <c r="H221" s="61"/>
      <c r="I221" s="100"/>
      <c r="K221" s="330" t="s">
        <v>220</v>
      </c>
      <c r="L221" s="327">
        <f>IF(H219&lt;&gt;0,L219/(F219+G219),0)</f>
        <v>1</v>
      </c>
      <c r="M221" s="279"/>
      <c r="N221" s="279"/>
    </row>
    <row r="222" spans="2:16">
      <c r="B222" s="64"/>
      <c r="C222" s="65"/>
      <c r="D222" s="317"/>
      <c r="E222" s="61"/>
      <c r="F222" s="61"/>
      <c r="G222" s="61"/>
      <c r="H222" s="61"/>
      <c r="I222" s="290"/>
      <c r="J222" s="61"/>
      <c r="K222" s="61"/>
      <c r="L222" s="61"/>
      <c r="M222" s="279"/>
      <c r="N222" s="279"/>
    </row>
    <row r="223" spans="2:16" ht="18">
      <c r="B223" s="64"/>
      <c r="C223" s="65"/>
      <c r="D223" s="391" t="s">
        <v>938</v>
      </c>
      <c r="E223" s="376"/>
      <c r="F223" s="61"/>
      <c r="H223" s="61"/>
      <c r="I223" s="61"/>
      <c r="J223" s="61"/>
      <c r="K223" s="314"/>
      <c r="L223" s="392"/>
      <c r="M223" s="279"/>
      <c r="N223" s="279"/>
    </row>
    <row r="224" spans="2:16" ht="16" thickBot="1">
      <c r="B224" s="64">
        <f>+B221+1</f>
        <v>131</v>
      </c>
      <c r="C224" s="65"/>
      <c r="D224" s="317" t="s">
        <v>939</v>
      </c>
      <c r="E224" s="61"/>
      <c r="F224" s="61"/>
      <c r="G224" s="61"/>
      <c r="H224" s="61"/>
      <c r="I224" s="61"/>
      <c r="J224" s="61"/>
      <c r="K224" s="61"/>
      <c r="L224" s="393" t="s">
        <v>282</v>
      </c>
      <c r="M224" s="279"/>
      <c r="N224" s="279"/>
    </row>
    <row r="225" spans="2:21">
      <c r="B225" s="64">
        <f t="shared" ref="B225:B232" si="12">+B224+1</f>
        <v>132</v>
      </c>
      <c r="C225" s="65"/>
      <c r="D225" s="61" t="s">
        <v>355</v>
      </c>
      <c r="E225" s="53" t="str">
        <f>"Long Term Interest (Worksheet M, ln. "&amp;'SWT WS M - Cost of Capital'!A58&amp;", col. "&amp;'SWT WS M - Cost of Capital'!E48&amp;")"</f>
        <v>Long Term Interest (Worksheet M, ln. 37, col. (d))</v>
      </c>
      <c r="F225" s="61"/>
      <c r="G225" s="61"/>
      <c r="H225" s="61"/>
      <c r="I225" s="61"/>
      <c r="J225" s="61"/>
      <c r="K225" s="61"/>
      <c r="L225" s="299">
        <f>+'SWT WS M - Cost of Capital'!E58</f>
        <v>-662.9398232692306</v>
      </c>
      <c r="M225" s="279"/>
      <c r="N225" s="279"/>
    </row>
    <row r="226" spans="2:21">
      <c r="B226" s="64">
        <f t="shared" si="12"/>
        <v>133</v>
      </c>
      <c r="C226" s="65"/>
      <c r="D226" s="61" t="s">
        <v>356</v>
      </c>
      <c r="E226" s="53" t="str">
        <f>"Preferred Stock Dividends (Worksheet M, ln. "&amp;'SWT WS M - Cost of Capital'!A87&amp;", col. "&amp;'SWT WS M - Cost of Capital'!E48&amp;")"</f>
        <v>Preferred Stock Dividends (Worksheet M, ln. 57, col. (d))</v>
      </c>
      <c r="F226" s="61"/>
      <c r="G226" s="61"/>
      <c r="H226" s="61"/>
      <c r="I226" s="61"/>
      <c r="J226" s="61"/>
      <c r="K226" s="61"/>
      <c r="L226" s="299">
        <f>+'SWT WS M - Cost of Capital'!E87</f>
        <v>0</v>
      </c>
      <c r="M226" s="279"/>
      <c r="N226" s="279"/>
    </row>
    <row r="227" spans="2:21" ht="16" thickBot="1">
      <c r="B227" s="64">
        <f t="shared" si="12"/>
        <v>134</v>
      </c>
      <c r="C227" s="65"/>
      <c r="D227" s="394" t="s">
        <v>362</v>
      </c>
      <c r="E227" s="61"/>
      <c r="F227" s="61"/>
      <c r="G227" s="61"/>
      <c r="H227" s="279"/>
      <c r="I227" s="279"/>
      <c r="J227" s="279"/>
      <c r="K227" s="61"/>
      <c r="L227" s="395" t="s">
        <v>179</v>
      </c>
      <c r="M227" s="279"/>
      <c r="N227" s="279"/>
    </row>
    <row r="228" spans="2:21">
      <c r="B228" s="64">
        <f t="shared" si="12"/>
        <v>135</v>
      </c>
      <c r="C228" s="65"/>
      <c r="D228" s="61" t="s">
        <v>363</v>
      </c>
      <c r="E228" s="53" t="str">
        <f>"(Worksheet M, ln. "&amp;'SWT WS M - Cost of Capital'!A24&amp;", col. "&amp;'SWT WS M - Cost of Capital'!C9&amp;")"</f>
        <v>(Worksheet M, ln. 14, col. (b))</v>
      </c>
      <c r="F228" s="61"/>
      <c r="G228" s="60"/>
      <c r="H228" s="279"/>
      <c r="I228" s="279"/>
      <c r="J228" s="279"/>
      <c r="K228" s="61"/>
      <c r="L228" s="305">
        <f>+'SWT WS M - Cost of Capital'!C24</f>
        <v>-1325879.6465384611</v>
      </c>
      <c r="M228" s="279"/>
      <c r="N228" s="279"/>
    </row>
    <row r="229" spans="2:21">
      <c r="B229" s="64">
        <f t="shared" si="12"/>
        <v>136</v>
      </c>
      <c r="C229" s="65"/>
      <c r="D229" s="61" t="str">
        <f>"Less Preferred Stock (ln "&amp;B236&amp;")"</f>
        <v>Less Preferred Stock (ln 142)</v>
      </c>
      <c r="E229" s="53" t="str">
        <f>"(Worksheet M, ln. "&amp;'SWT WS M - Cost of Capital'!A24&amp;", col. "&amp;'SWT WS M - Cost of Capital'!D9&amp;")"</f>
        <v>(Worksheet M, ln. 14, col. (c))</v>
      </c>
      <c r="F229" s="61"/>
      <c r="G229" s="61"/>
      <c r="H229" s="279"/>
      <c r="I229" s="279"/>
      <c r="J229" s="279"/>
      <c r="K229" s="61"/>
      <c r="L229" s="305">
        <f>+'SWT WS M - Cost of Capital'!D24</f>
        <v>0</v>
      </c>
      <c r="M229" s="279"/>
      <c r="N229" s="279"/>
    </row>
    <row r="230" spans="2:21">
      <c r="B230" s="64">
        <f t="shared" si="12"/>
        <v>137</v>
      </c>
      <c r="C230" s="65"/>
      <c r="D230" s="61" t="s">
        <v>52</v>
      </c>
      <c r="E230" s="53" t="str">
        <f>"(Worksheet M, ln. "&amp;'SWT WS M - Cost of Capital'!A24&amp;", col. "&amp;'SWT WS M - Cost of Capital'!E9&amp;")"</f>
        <v>(Worksheet M, ln. 14, col. (d))</v>
      </c>
      <c r="F230" s="61"/>
      <c r="G230" s="61"/>
      <c r="H230" s="279"/>
      <c r="I230" s="279"/>
      <c r="J230" s="279"/>
      <c r="K230" s="61"/>
      <c r="L230" s="305">
        <f>+'SWT WS M - Cost of Capital'!E24</f>
        <v>0</v>
      </c>
      <c r="M230" s="279"/>
      <c r="N230" s="279"/>
    </row>
    <row r="231" spans="2:21" ht="16" thickBot="1">
      <c r="B231" s="64">
        <f t="shared" si="12"/>
        <v>138</v>
      </c>
      <c r="C231" s="65"/>
      <c r="D231" s="61" t="s">
        <v>364</v>
      </c>
      <c r="E231" s="53" t="str">
        <f>"(Worksheet M, ln. "&amp;'SWT WS M - Cost of Capital'!A24&amp;", col. "&amp;'SWT WS M - Cost of Capital'!F9&amp;")"</f>
        <v>(Worksheet M, ln. 14, col. (e))</v>
      </c>
      <c r="F231" s="61"/>
      <c r="G231" s="61"/>
      <c r="H231" s="279"/>
      <c r="I231" s="279"/>
      <c r="J231" s="279"/>
      <c r="K231" s="61"/>
      <c r="L231" s="381">
        <f>+'SWT WS M - Cost of Capital'!F24</f>
        <v>0</v>
      </c>
      <c r="M231" s="279"/>
      <c r="N231" s="279"/>
    </row>
    <row r="232" spans="2:21">
      <c r="B232" s="64">
        <f t="shared" si="12"/>
        <v>139</v>
      </c>
      <c r="C232" s="65"/>
      <c r="D232" s="53" t="s">
        <v>365</v>
      </c>
      <c r="E232" s="61" t="str">
        <f>"(ln "&amp;B228&amp;" - ln "&amp;B229&amp;" - ln "&amp;B230&amp;" - ln "&amp;B231&amp;")"</f>
        <v>(ln 135 - ln 136 - ln 137 - ln 138)</v>
      </c>
      <c r="F232" s="285"/>
      <c r="H232" s="60"/>
      <c r="I232" s="60"/>
      <c r="J232" s="60"/>
      <c r="K232" s="60"/>
      <c r="L232" s="289">
        <f>+L228-L229-L230-L231</f>
        <v>-1325879.6465384611</v>
      </c>
      <c r="M232" s="279"/>
      <c r="N232" s="279"/>
    </row>
    <row r="233" spans="2:21" ht="52.5" customHeight="1">
      <c r="B233" s="64"/>
      <c r="C233" s="65"/>
      <c r="D233" s="317"/>
      <c r="E233" s="61"/>
      <c r="F233" s="61"/>
      <c r="G233" s="396" t="s">
        <v>419</v>
      </c>
      <c r="H233" s="397"/>
      <c r="I233" s="61"/>
      <c r="J233" s="290" t="s">
        <v>283</v>
      </c>
      <c r="K233" s="61"/>
      <c r="L233" s="61"/>
      <c r="M233" s="279"/>
      <c r="N233" s="279"/>
    </row>
    <row r="234" spans="2:21" ht="16" thickBot="1">
      <c r="B234" s="64">
        <f>+B232+1</f>
        <v>140</v>
      </c>
      <c r="C234" s="65"/>
      <c r="D234" s="317"/>
      <c r="E234" s="282" t="s">
        <v>418</v>
      </c>
      <c r="G234" s="398"/>
      <c r="H234" s="397"/>
      <c r="I234" s="61"/>
      <c r="J234" s="282" t="s">
        <v>410</v>
      </c>
      <c r="K234" s="61"/>
      <c r="L234" s="282" t="s">
        <v>285</v>
      </c>
      <c r="M234" s="279"/>
      <c r="N234" s="279"/>
      <c r="O234" s="57"/>
      <c r="P234" s="57"/>
      <c r="Q234" s="57"/>
      <c r="R234" s="57"/>
      <c r="S234" s="57"/>
      <c r="T234" s="57"/>
      <c r="U234" s="57"/>
    </row>
    <row r="235" spans="2:21">
      <c r="B235" s="64">
        <f>+B234+1</f>
        <v>141</v>
      </c>
      <c r="C235" s="65"/>
      <c r="D235" s="61" t="str">
        <f>"Avg Long Term Debt (Worksheet M, ln. "&amp;'SWT WS M - Cost of Capital'!A43&amp;", col. (g))"</f>
        <v>Avg Long Term Debt (Worksheet M, ln. 28, col. (g))</v>
      </c>
      <c r="E235" s="299">
        <f>+'SWT WS M - Cost of Capital'!H43</f>
        <v>0</v>
      </c>
      <c r="G235" s="302">
        <f>IF($E$238&gt;0,E235/$E$238,0)</f>
        <v>0</v>
      </c>
      <c r="H235" s="397"/>
      <c r="I235" s="399"/>
      <c r="J235" s="304">
        <f>+'SWT WS M - Cost of Capital'!E60</f>
        <v>0</v>
      </c>
      <c r="L235" s="400">
        <f>J235*G235</f>
        <v>0</v>
      </c>
      <c r="M235" s="279"/>
      <c r="N235" s="279"/>
      <c r="O235" s="57"/>
      <c r="P235" s="57"/>
      <c r="Q235" s="57"/>
      <c r="R235" s="57"/>
      <c r="S235" s="57"/>
      <c r="T235" s="57"/>
      <c r="U235" s="57"/>
    </row>
    <row r="236" spans="2:21">
      <c r="B236" s="64">
        <f>+B235+1</f>
        <v>142</v>
      </c>
      <c r="C236" s="65"/>
      <c r="D236" s="61" t="str">
        <f>"Avg Preferred Stock (Worksheet M, ln. "&amp;'SWT WS M - Cost of Capital'!A24&amp;", col. "&amp;'SWT WS M - Cost of Capital'!D9&amp;")"</f>
        <v>Avg Preferred Stock (Worksheet M, ln. 14, col. (c))</v>
      </c>
      <c r="E236" s="299">
        <f>+'SWT WS M - Cost of Capital'!D24</f>
        <v>0</v>
      </c>
      <c r="G236" s="302">
        <f>IF($E$238&gt;0,E236/$E$238,0)</f>
        <v>0</v>
      </c>
      <c r="H236" s="397"/>
      <c r="I236" s="399"/>
      <c r="J236" s="304">
        <f>IF(E236&gt;0,L226/E236,0)</f>
        <v>0</v>
      </c>
      <c r="L236" s="400">
        <f>J236*G236</f>
        <v>0</v>
      </c>
      <c r="M236" s="279"/>
      <c r="N236" s="279"/>
      <c r="O236" s="57"/>
    </row>
    <row r="237" spans="2:21" ht="16" thickBot="1">
      <c r="B237" s="64">
        <f>+B236+1</f>
        <v>143</v>
      </c>
      <c r="C237" s="65"/>
      <c r="D237" s="317" t="str">
        <f>"Avg Common Stock (ln "&amp;B232&amp;")"</f>
        <v>Avg Common Stock (ln 139)</v>
      </c>
      <c r="E237" s="325">
        <f>+L232</f>
        <v>-1325879.6465384611</v>
      </c>
      <c r="G237" s="302">
        <f>IF($E$238&gt;0,E237/$E$238,0)</f>
        <v>0</v>
      </c>
      <c r="H237" s="397"/>
      <c r="I237" s="399"/>
      <c r="J237" s="401">
        <v>0.105</v>
      </c>
      <c r="L237" s="402">
        <f>J237*G237</f>
        <v>0</v>
      </c>
      <c r="M237" s="279"/>
      <c r="N237" s="279"/>
      <c r="O237" s="57"/>
    </row>
    <row r="238" spans="2:21">
      <c r="B238" s="64">
        <f>+B237+1</f>
        <v>144</v>
      </c>
      <c r="C238" s="65"/>
      <c r="D238" s="317" t="str">
        <f>"  Total  (sum lns "&amp;B235&amp;" to "&amp;B237&amp;")"</f>
        <v xml:space="preserve">  Total  (sum lns 141 to 143)</v>
      </c>
      <c r="E238" s="299">
        <f>E237+E236+E235</f>
        <v>-1325879.6465384611</v>
      </c>
      <c r="G238" s="61" t="s">
        <v>253</v>
      </c>
      <c r="H238" s="397"/>
      <c r="I238" s="61"/>
      <c r="J238" s="279"/>
      <c r="K238" s="403" t="s">
        <v>207</v>
      </c>
      <c r="L238" s="404">
        <f>SUM(L235:L237)</f>
        <v>0</v>
      </c>
      <c r="M238" s="279"/>
      <c r="N238" s="279"/>
      <c r="P238" s="405"/>
    </row>
    <row r="239" spans="2:21">
      <c r="B239" s="406"/>
      <c r="C239" s="279"/>
      <c r="D239" s="279"/>
      <c r="E239" s="279"/>
      <c r="F239" s="279"/>
      <c r="G239" s="279"/>
      <c r="H239" s="279"/>
      <c r="I239" s="279"/>
      <c r="J239" s="407"/>
      <c r="K239" s="407"/>
      <c r="L239" s="407"/>
      <c r="M239" s="279"/>
      <c r="N239" s="279"/>
      <c r="O239" s="60"/>
      <c r="P239" s="60"/>
      <c r="Q239" s="60"/>
      <c r="R239" s="60"/>
      <c r="S239" s="60"/>
      <c r="T239" s="60"/>
      <c r="U239" s="60"/>
    </row>
    <row r="240" spans="2:21" ht="18">
      <c r="B240" s="64"/>
      <c r="C240" s="65"/>
      <c r="D240" s="391" t="s">
        <v>947</v>
      </c>
      <c r="E240" s="376"/>
      <c r="F240" s="61"/>
      <c r="H240" s="61"/>
      <c r="I240" s="61"/>
      <c r="J240" s="61"/>
      <c r="K240" s="314"/>
      <c r="L240" s="392"/>
      <c r="M240" s="279"/>
      <c r="N240" s="279"/>
    </row>
    <row r="241" spans="2:21" ht="16" thickBot="1">
      <c r="B241" s="64">
        <f>+B238+1</f>
        <v>145</v>
      </c>
      <c r="C241" s="65"/>
      <c r="D241" s="317" t="s">
        <v>939</v>
      </c>
      <c r="E241" s="61"/>
      <c r="F241" s="61"/>
      <c r="G241" s="61"/>
      <c r="H241" s="61"/>
      <c r="I241" s="61"/>
      <c r="J241" s="61"/>
      <c r="K241" s="61"/>
      <c r="L241" s="393" t="s">
        <v>282</v>
      </c>
      <c r="M241" s="279"/>
      <c r="N241" s="279"/>
    </row>
    <row r="242" spans="2:21">
      <c r="B242" s="64">
        <f t="shared" ref="B242:B249" si="13">+B241+1</f>
        <v>146</v>
      </c>
      <c r="C242" s="65"/>
      <c r="D242" s="61" t="s">
        <v>355</v>
      </c>
      <c r="E242" s="53" t="s">
        <v>952</v>
      </c>
      <c r="F242" s="61"/>
      <c r="G242" s="61"/>
      <c r="H242" s="61"/>
      <c r="I242" s="61"/>
      <c r="J242" s="61"/>
      <c r="K242" s="61"/>
      <c r="L242" s="1178">
        <v>115421371.074</v>
      </c>
      <c r="M242" s="279"/>
      <c r="N242" s="279"/>
    </row>
    <row r="243" spans="2:21">
      <c r="B243" s="64">
        <f t="shared" si="13"/>
        <v>147</v>
      </c>
      <c r="C243" s="65"/>
      <c r="D243" s="61" t="s">
        <v>356</v>
      </c>
      <c r="E243" s="53" t="s">
        <v>953</v>
      </c>
      <c r="F243" s="61"/>
      <c r="G243" s="61"/>
      <c r="H243" s="61"/>
      <c r="I243" s="61"/>
      <c r="J243" s="61"/>
      <c r="K243" s="61"/>
      <c r="L243" s="409"/>
      <c r="M243" s="279"/>
      <c r="N243" s="279"/>
    </row>
    <row r="244" spans="2:21" ht="16" thickBot="1">
      <c r="B244" s="64">
        <f t="shared" si="13"/>
        <v>148</v>
      </c>
      <c r="C244" s="65"/>
      <c r="D244" s="394" t="s">
        <v>362</v>
      </c>
      <c r="E244" s="61"/>
      <c r="F244" s="61"/>
      <c r="G244" s="61"/>
      <c r="H244" s="279"/>
      <c r="I244" s="279"/>
      <c r="J244" s="279"/>
      <c r="K244" s="61"/>
      <c r="L244" s="282" t="s">
        <v>179</v>
      </c>
      <c r="M244" s="279"/>
      <c r="N244" s="279"/>
    </row>
    <row r="245" spans="2:21">
      <c r="B245" s="64">
        <f t="shared" si="13"/>
        <v>149</v>
      </c>
      <c r="C245" s="65"/>
      <c r="D245" s="61" t="s">
        <v>363</v>
      </c>
      <c r="E245" s="53" t="s">
        <v>948</v>
      </c>
      <c r="F245" s="61"/>
      <c r="G245" s="60"/>
      <c r="H245" s="279"/>
      <c r="I245" s="279"/>
      <c r="J245" s="279"/>
      <c r="K245" s="61"/>
      <c r="L245" s="408">
        <v>2361456890.133615</v>
      </c>
      <c r="M245" s="279"/>
      <c r="N245" s="279"/>
    </row>
    <row r="246" spans="2:21">
      <c r="B246" s="64">
        <f t="shared" si="13"/>
        <v>150</v>
      </c>
      <c r="C246" s="65"/>
      <c r="D246" s="61" t="str">
        <f>"Less Preferred Stock (ln "&amp;B253&amp;")"</f>
        <v>Less Preferred Stock (ln 156)</v>
      </c>
      <c r="E246" s="53" t="s">
        <v>949</v>
      </c>
      <c r="F246" s="61"/>
      <c r="G246" s="61"/>
      <c r="H246" s="279"/>
      <c r="I246" s="279"/>
      <c r="J246" s="279"/>
      <c r="K246" s="61"/>
      <c r="L246" s="408">
        <v>0</v>
      </c>
      <c r="M246" s="279"/>
      <c r="N246" s="279"/>
    </row>
    <row r="247" spans="2:21">
      <c r="B247" s="64">
        <f t="shared" si="13"/>
        <v>151</v>
      </c>
      <c r="C247" s="65"/>
      <c r="D247" s="61" t="s">
        <v>52</v>
      </c>
      <c r="E247" s="53" t="s">
        <v>950</v>
      </c>
      <c r="F247" s="61"/>
      <c r="G247" s="61"/>
      <c r="H247" s="279"/>
      <c r="I247" s="279"/>
      <c r="J247" s="279"/>
      <c r="K247" s="61"/>
      <c r="L247" s="408">
        <v>36037926.374461539</v>
      </c>
      <c r="M247" s="279"/>
      <c r="N247" s="279"/>
    </row>
    <row r="248" spans="2:21" ht="16" thickBot="1">
      <c r="B248" s="64">
        <f t="shared" si="13"/>
        <v>152</v>
      </c>
      <c r="C248" s="65"/>
      <c r="D248" s="61" t="s">
        <v>364</v>
      </c>
      <c r="E248" s="53" t="s">
        <v>951</v>
      </c>
      <c r="F248" s="61"/>
      <c r="G248" s="61"/>
      <c r="H248" s="279"/>
      <c r="I248" s="279"/>
      <c r="J248" s="279"/>
      <c r="K248" s="61"/>
      <c r="L248" s="408">
        <v>-4815638.9569230769</v>
      </c>
      <c r="M248" s="279"/>
      <c r="N248" s="279"/>
    </row>
    <row r="249" spans="2:21">
      <c r="B249" s="64">
        <f t="shared" si="13"/>
        <v>153</v>
      </c>
      <c r="C249" s="65"/>
      <c r="D249" s="53" t="s">
        <v>365</v>
      </c>
      <c r="E249" s="61" t="str">
        <f>"(ln "&amp;B245&amp;" - ln "&amp;B246&amp;" - ln "&amp;B247&amp;" - ln "&amp;B248&amp;")"</f>
        <v>(ln 149 - ln 150 - ln 151 - ln 152)</v>
      </c>
      <c r="F249" s="285"/>
      <c r="H249" s="60"/>
      <c r="I249" s="60"/>
      <c r="J249" s="60"/>
      <c r="K249" s="60"/>
      <c r="L249" s="410">
        <f>+L245-L246-L247-L248</f>
        <v>2330234602.7160764</v>
      </c>
      <c r="M249" s="279"/>
      <c r="N249" s="279"/>
    </row>
    <row r="250" spans="2:21" ht="52.5" customHeight="1">
      <c r="B250" s="64"/>
      <c r="C250" s="65"/>
      <c r="D250" s="317"/>
      <c r="E250" s="61"/>
      <c r="F250" s="61"/>
      <c r="G250" s="396" t="s">
        <v>419</v>
      </c>
      <c r="H250" s="397"/>
      <c r="I250" s="61"/>
      <c r="J250" s="290" t="s">
        <v>283</v>
      </c>
      <c r="K250" s="61"/>
      <c r="L250" s="61"/>
      <c r="M250" s="279"/>
      <c r="N250" s="279"/>
    </row>
    <row r="251" spans="2:21" ht="16" thickBot="1">
      <c r="B251" s="64">
        <f>+B249+1</f>
        <v>154</v>
      </c>
      <c r="C251" s="65"/>
      <c r="D251" s="317"/>
      <c r="E251" s="282" t="s">
        <v>418</v>
      </c>
      <c r="G251" s="398"/>
      <c r="H251" s="397"/>
      <c r="I251" s="61"/>
      <c r="J251" s="282" t="s">
        <v>410</v>
      </c>
      <c r="K251" s="61"/>
      <c r="L251" s="282" t="s">
        <v>285</v>
      </c>
      <c r="M251" s="279"/>
      <c r="N251" s="279"/>
      <c r="O251" s="57"/>
      <c r="P251" s="57"/>
      <c r="Q251" s="57"/>
      <c r="R251" s="57"/>
      <c r="S251" s="57"/>
      <c r="T251" s="57"/>
      <c r="U251" s="57"/>
    </row>
    <row r="252" spans="2:21">
      <c r="B252" s="64">
        <f>+B251+1</f>
        <v>155</v>
      </c>
      <c r="C252" s="65"/>
      <c r="D252" s="61" t="s">
        <v>986</v>
      </c>
      <c r="E252" s="408">
        <v>2569115384.6153846</v>
      </c>
      <c r="G252" s="302">
        <f>IF($E$255&gt;0,E252/$E$255,0)</f>
        <v>0.52437882397838453</v>
      </c>
      <c r="H252" s="397"/>
      <c r="I252" s="399"/>
      <c r="J252" s="401">
        <v>4.1852231011841851E-2</v>
      </c>
      <c r="L252" s="400">
        <f>J252*G252</f>
        <v>2.1946423678861304E-2</v>
      </c>
      <c r="M252" s="279"/>
      <c r="N252" s="279"/>
      <c r="O252" s="57"/>
      <c r="P252" s="57"/>
      <c r="Q252" s="57"/>
      <c r="R252" s="57"/>
      <c r="S252" s="57"/>
      <c r="T252" s="57"/>
      <c r="U252" s="57"/>
    </row>
    <row r="253" spans="2:21">
      <c r="B253" s="64">
        <f>+B252+1</f>
        <v>156</v>
      </c>
      <c r="C253" s="65"/>
      <c r="D253" s="61" t="s">
        <v>987</v>
      </c>
      <c r="E253" s="409"/>
      <c r="G253" s="302">
        <f>IF($E$255&gt;0,E253/$E$255,0)</f>
        <v>0</v>
      </c>
      <c r="H253" s="397"/>
      <c r="I253" s="399"/>
      <c r="J253" s="401"/>
      <c r="L253" s="400">
        <f>J253*G253</f>
        <v>0</v>
      </c>
      <c r="M253" s="279"/>
      <c r="N253" s="279"/>
      <c r="O253" s="57"/>
    </row>
    <row r="254" spans="2:21" ht="16" thickBot="1">
      <c r="B254" s="64">
        <f>+B253+1</f>
        <v>157</v>
      </c>
      <c r="C254" s="65"/>
      <c r="D254" s="317" t="str">
        <f>"Avg Common Stock (ln "&amp;B249&amp;")"</f>
        <v>Avg Common Stock (ln 153)</v>
      </c>
      <c r="E254" s="325">
        <f>+L249</f>
        <v>2330234602.7160764</v>
      </c>
      <c r="G254" s="302">
        <f>IF($E$255&gt;0,E254/$E$255,0)</f>
        <v>0.47562117602161547</v>
      </c>
      <c r="H254" s="397"/>
      <c r="I254" s="399"/>
      <c r="J254" s="401">
        <v>0.105</v>
      </c>
      <c r="L254" s="402">
        <f>J254*G254</f>
        <v>4.9940223482269619E-2</v>
      </c>
      <c r="M254" s="279"/>
      <c r="N254" s="279"/>
      <c r="O254" s="57"/>
    </row>
    <row r="255" spans="2:21">
      <c r="B255" s="64">
        <f>+B254+1</f>
        <v>158</v>
      </c>
      <c r="C255" s="65"/>
      <c r="D255" s="317" t="str">
        <f>"  Total  (sum lns "&amp;B252&amp;" to "&amp;B254&amp;")"</f>
        <v xml:space="preserve">  Total  (sum lns 155 to 157)</v>
      </c>
      <c r="E255" s="299">
        <f>E254+E253+E252</f>
        <v>4899349987.331461</v>
      </c>
      <c r="G255" s="61" t="s">
        <v>253</v>
      </c>
      <c r="H255" s="397"/>
      <c r="I255" s="61"/>
      <c r="J255" s="279"/>
      <c r="K255" s="403" t="s">
        <v>207</v>
      </c>
      <c r="L255" s="404">
        <f>SUM(L252:L254)</f>
        <v>7.1886647161130926E-2</v>
      </c>
      <c r="M255" s="279"/>
      <c r="N255" s="279"/>
      <c r="P255" s="405"/>
    </row>
    <row r="256" spans="2:21">
      <c r="B256" s="406"/>
      <c r="C256" s="279"/>
      <c r="D256" s="279"/>
      <c r="E256" s="279"/>
      <c r="F256" s="279"/>
      <c r="G256" s="279"/>
      <c r="H256" s="279"/>
      <c r="I256" s="279"/>
      <c r="J256" s="407"/>
      <c r="K256" s="407"/>
      <c r="L256" s="407"/>
      <c r="M256" s="279"/>
      <c r="N256" s="279"/>
      <c r="O256" s="60"/>
      <c r="P256" s="60"/>
      <c r="Q256" s="60"/>
      <c r="R256" s="60"/>
      <c r="S256" s="60"/>
      <c r="T256" s="60"/>
      <c r="U256" s="60"/>
    </row>
    <row r="257" spans="2:21">
      <c r="B257" s="406"/>
      <c r="C257" s="279"/>
      <c r="D257" s="279"/>
      <c r="E257" s="279"/>
      <c r="F257" s="279"/>
      <c r="G257" s="279"/>
      <c r="H257" s="279"/>
      <c r="I257" s="279"/>
      <c r="J257" s="407"/>
      <c r="K257" s="407"/>
      <c r="L257" s="407"/>
      <c r="M257" s="279"/>
      <c r="N257" s="279"/>
      <c r="O257" s="60"/>
      <c r="P257" s="60"/>
      <c r="Q257" s="60"/>
      <c r="R257" s="60"/>
      <c r="S257" s="60"/>
      <c r="T257" s="60"/>
      <c r="U257" s="60"/>
    </row>
    <row r="258" spans="2:21">
      <c r="B258" s="64"/>
      <c r="C258" s="279"/>
      <c r="D258" s="279"/>
      <c r="E258" s="279"/>
      <c r="F258" s="279"/>
      <c r="G258" s="279"/>
      <c r="H258" s="279"/>
      <c r="I258" s="279"/>
      <c r="J258" s="61"/>
      <c r="K258" s="60"/>
      <c r="L258" s="61"/>
      <c r="M258" s="279"/>
      <c r="N258" s="279"/>
      <c r="O258" s="60"/>
      <c r="P258" s="60"/>
      <c r="Q258" s="60"/>
      <c r="R258" s="60"/>
      <c r="S258" s="60"/>
      <c r="T258" s="60"/>
      <c r="U258" s="60"/>
    </row>
    <row r="259" spans="2:21">
      <c r="B259" s="64"/>
      <c r="C259" s="65"/>
      <c r="D259" s="273"/>
      <c r="E259" s="273"/>
      <c r="F259" s="100" t="str">
        <f>F196</f>
        <v xml:space="preserve">AEP West SPP Member Transmission Companies </v>
      </c>
      <c r="G259" s="274"/>
      <c r="H259" s="61"/>
      <c r="I259" s="61"/>
      <c r="J259" s="61"/>
      <c r="K259" s="60"/>
      <c r="L259" s="61"/>
      <c r="M259" s="279"/>
      <c r="N259" s="279"/>
      <c r="O259" s="60"/>
      <c r="P259" s="60"/>
      <c r="Q259" s="60"/>
      <c r="R259" s="60"/>
      <c r="S259" s="60"/>
      <c r="T259" s="60"/>
      <c r="U259" s="60"/>
    </row>
    <row r="260" spans="2:21">
      <c r="B260" s="64"/>
      <c r="C260" s="65"/>
      <c r="D260" s="411"/>
      <c r="E260" s="65"/>
      <c r="F260" s="100" t="str">
        <f>F197</f>
        <v>Transmission Cost of Service Formula Rate</v>
      </c>
      <c r="G260" s="61"/>
      <c r="H260" s="61"/>
      <c r="I260" s="61"/>
      <c r="J260" s="61"/>
      <c r="K260" s="60"/>
      <c r="L260" s="81"/>
      <c r="M260" s="279"/>
      <c r="N260" s="279"/>
      <c r="O260" s="60"/>
      <c r="P260" s="60"/>
      <c r="Q260" s="60"/>
      <c r="R260" s="60"/>
      <c r="S260" s="60"/>
      <c r="T260" s="60"/>
      <c r="U260" s="60"/>
    </row>
    <row r="261" spans="2:21">
      <c r="B261" s="64"/>
      <c r="C261" s="65"/>
      <c r="D261" s="411"/>
      <c r="E261" s="71"/>
      <c r="F261" s="100" t="str">
        <f>F198</f>
        <v>Utilizing Actual / Projected Cost Data for the 2019 Rate Year</v>
      </c>
      <c r="G261" s="61"/>
      <c r="H261" s="61"/>
      <c r="I261" s="61"/>
      <c r="J261" s="61"/>
      <c r="K261" s="60"/>
      <c r="L261" s="81"/>
      <c r="M261" s="279"/>
      <c r="N261" s="279"/>
      <c r="O261" s="60"/>
      <c r="P261" s="60"/>
      <c r="Q261" s="60"/>
      <c r="R261" s="60"/>
      <c r="S261" s="60"/>
      <c r="T261" s="60"/>
      <c r="U261" s="60"/>
    </row>
    <row r="262" spans="2:21">
      <c r="B262" s="64"/>
      <c r="C262" s="65"/>
      <c r="D262" s="411"/>
      <c r="E262" s="71"/>
      <c r="F262" s="100"/>
      <c r="G262" s="61"/>
      <c r="H262" s="61"/>
      <c r="I262" s="61"/>
      <c r="J262" s="61"/>
      <c r="K262" s="60"/>
      <c r="L262" s="81"/>
      <c r="M262" s="279"/>
      <c r="N262" s="279"/>
      <c r="O262" s="60"/>
      <c r="P262" s="60"/>
      <c r="Q262" s="60"/>
      <c r="R262" s="60"/>
      <c r="S262" s="60"/>
      <c r="T262" s="60"/>
      <c r="U262" s="60"/>
    </row>
    <row r="263" spans="2:21">
      <c r="B263" s="64"/>
      <c r="C263" s="65"/>
      <c r="D263" s="411"/>
      <c r="E263" s="71"/>
      <c r="F263" s="100" t="str">
        <f>F200</f>
        <v>AEP SOUTHWESTERN TRANSMISSION COMPANY</v>
      </c>
      <c r="G263" s="61"/>
      <c r="H263" s="61"/>
      <c r="I263" s="61"/>
      <c r="J263" s="61"/>
      <c r="K263" s="60"/>
      <c r="L263" s="81"/>
      <c r="M263" s="279"/>
      <c r="N263" s="279"/>
      <c r="O263" s="60"/>
      <c r="P263" s="60"/>
      <c r="Q263" s="60"/>
      <c r="R263" s="60"/>
      <c r="S263" s="60"/>
      <c r="T263" s="60"/>
      <c r="U263" s="60"/>
    </row>
    <row r="264" spans="2:21">
      <c r="B264" s="64"/>
      <c r="C264" s="65"/>
      <c r="D264" s="411"/>
      <c r="E264" s="71"/>
      <c r="F264" s="100"/>
      <c r="G264" s="61"/>
      <c r="H264" s="61"/>
      <c r="I264" s="61"/>
      <c r="J264" s="61"/>
      <c r="K264" s="60"/>
      <c r="L264" s="81"/>
      <c r="M264" s="279"/>
      <c r="N264" s="279"/>
      <c r="O264" s="60"/>
      <c r="P264" s="60"/>
      <c r="Q264" s="60"/>
      <c r="R264" s="60"/>
      <c r="S264" s="60"/>
      <c r="T264" s="60"/>
      <c r="U264" s="60"/>
    </row>
    <row r="265" spans="2:21">
      <c r="B265" s="412" t="s">
        <v>314</v>
      </c>
      <c r="C265" s="74"/>
      <c r="D265" s="57"/>
      <c r="E265" s="60"/>
      <c r="F265" s="412" t="s">
        <v>313</v>
      </c>
      <c r="G265" s="61"/>
      <c r="H265" s="61"/>
      <c r="I265" s="61"/>
      <c r="J265" s="61"/>
      <c r="K265" s="60"/>
      <c r="L265" s="61"/>
      <c r="M265" s="279"/>
      <c r="N265" s="279"/>
      <c r="O265" s="60"/>
      <c r="P265" s="60"/>
      <c r="Q265" s="60"/>
      <c r="R265" s="60"/>
      <c r="S265" s="60"/>
      <c r="T265" s="60"/>
      <c r="U265" s="60"/>
    </row>
    <row r="266" spans="2:21">
      <c r="C266" s="74"/>
      <c r="D266" s="53" t="s">
        <v>653</v>
      </c>
      <c r="L266" s="81"/>
      <c r="M266" s="279"/>
      <c r="N266" s="279"/>
      <c r="O266" s="60"/>
      <c r="P266" s="60"/>
      <c r="Q266" s="60"/>
      <c r="R266" s="60"/>
      <c r="S266" s="60"/>
      <c r="T266" s="60"/>
      <c r="U266" s="60"/>
    </row>
    <row r="267" spans="2:21">
      <c r="B267" s="53"/>
      <c r="D267" s="57"/>
      <c r="E267" s="60"/>
      <c r="F267" s="60"/>
      <c r="G267" s="61"/>
      <c r="H267" s="61"/>
      <c r="I267" s="61"/>
      <c r="J267" s="342"/>
      <c r="K267" s="279"/>
      <c r="L267" s="279"/>
      <c r="M267" s="279"/>
      <c r="N267" s="279"/>
      <c r="O267" s="60"/>
      <c r="P267" s="60"/>
      <c r="Q267" s="60"/>
      <c r="R267" s="60"/>
      <c r="S267" s="60"/>
      <c r="T267" s="60"/>
      <c r="U267" s="60"/>
    </row>
    <row r="268" spans="2:21">
      <c r="B268" s="346" t="s">
        <v>286</v>
      </c>
      <c r="C268" s="74"/>
      <c r="D268" s="57" t="s">
        <v>90</v>
      </c>
      <c r="E268" s="60"/>
      <c r="F268" s="60"/>
      <c r="G268" s="61"/>
      <c r="H268" s="61"/>
      <c r="I268" s="61"/>
      <c r="J268" s="342"/>
      <c r="K268" s="279"/>
      <c r="L268" s="279"/>
      <c r="M268" s="279"/>
      <c r="N268" s="279"/>
      <c r="O268" s="60"/>
      <c r="P268" s="60"/>
      <c r="Q268" s="60"/>
      <c r="R268" s="60"/>
      <c r="S268" s="60"/>
      <c r="T268" s="60"/>
      <c r="U268" s="60"/>
    </row>
    <row r="269" spans="2:21">
      <c r="B269" s="346"/>
      <c r="C269" s="100"/>
      <c r="D269" s="57" t="s">
        <v>91</v>
      </c>
      <c r="E269" s="60"/>
      <c r="F269" s="60"/>
      <c r="G269" s="60"/>
      <c r="H269" s="60"/>
      <c r="I269" s="60"/>
      <c r="J269" s="413"/>
      <c r="K269" s="279"/>
      <c r="L269" s="279"/>
      <c r="M269" s="279"/>
      <c r="N269" s="279"/>
      <c r="O269" s="60"/>
      <c r="P269" s="60"/>
      <c r="Q269" s="60"/>
      <c r="R269" s="60"/>
      <c r="S269" s="60"/>
      <c r="T269" s="60"/>
      <c r="U269" s="60"/>
    </row>
    <row r="270" spans="2:21">
      <c r="D270" s="57" t="s">
        <v>93</v>
      </c>
      <c r="E270" s="303"/>
      <c r="F270" s="303"/>
      <c r="G270" s="60"/>
      <c r="H270" s="60"/>
      <c r="I270" s="60"/>
      <c r="J270" s="413"/>
      <c r="K270" s="279"/>
      <c r="L270" s="279"/>
      <c r="M270" s="279"/>
      <c r="N270" s="279"/>
      <c r="O270" s="60"/>
      <c r="P270" s="60"/>
      <c r="Q270" s="60"/>
      <c r="R270" s="60"/>
      <c r="S270" s="60"/>
      <c r="T270" s="60"/>
      <c r="U270" s="60"/>
    </row>
    <row r="271" spans="2:21">
      <c r="D271" s="57" t="s">
        <v>94</v>
      </c>
      <c r="E271" s="60"/>
      <c r="F271" s="60"/>
      <c r="G271" s="60"/>
      <c r="H271" s="60"/>
      <c r="I271" s="60"/>
      <c r="J271" s="413"/>
      <c r="K271" s="279"/>
      <c r="L271" s="279"/>
      <c r="M271" s="279"/>
      <c r="N271" s="279"/>
      <c r="O271" s="60"/>
      <c r="P271" s="60"/>
      <c r="Q271" s="60"/>
      <c r="R271" s="60"/>
      <c r="S271" s="60"/>
      <c r="T271" s="60"/>
      <c r="U271" s="60"/>
    </row>
    <row r="272" spans="2:21">
      <c r="B272" s="64"/>
      <c r="C272" s="65"/>
      <c r="D272" s="57" t="s">
        <v>886</v>
      </c>
      <c r="E272" s="60"/>
      <c r="F272" s="60"/>
      <c r="G272" s="60"/>
      <c r="H272" s="60"/>
      <c r="I272" s="60"/>
      <c r="J272" s="413"/>
      <c r="K272" s="279"/>
      <c r="L272" s="279"/>
      <c r="M272" s="279"/>
      <c r="N272" s="279"/>
      <c r="O272" s="60"/>
      <c r="P272" s="60"/>
      <c r="Q272" s="60"/>
      <c r="R272" s="60"/>
      <c r="S272" s="60"/>
      <c r="T272" s="60"/>
      <c r="U272" s="60"/>
    </row>
    <row r="273" spans="2:21" ht="15" customHeight="1">
      <c r="B273" s="64"/>
      <c r="C273" s="65"/>
      <c r="D273" s="57"/>
      <c r="E273" s="60"/>
      <c r="F273" s="60"/>
      <c r="G273" s="60"/>
      <c r="H273" s="60"/>
      <c r="I273" s="60"/>
      <c r="J273" s="413"/>
      <c r="K273" s="279"/>
      <c r="L273" s="279"/>
      <c r="M273" s="279"/>
      <c r="N273" s="279"/>
      <c r="O273" s="60"/>
      <c r="P273" s="60"/>
      <c r="Q273" s="60"/>
      <c r="R273" s="60"/>
      <c r="S273" s="60"/>
      <c r="T273" s="60"/>
      <c r="U273" s="60"/>
    </row>
    <row r="274" spans="2:21">
      <c r="B274" s="64" t="s">
        <v>287</v>
      </c>
      <c r="C274" s="65"/>
      <c r="D274" s="407" t="s">
        <v>95</v>
      </c>
      <c r="E274" s="60"/>
      <c r="F274" s="60"/>
      <c r="G274" s="60"/>
      <c r="H274" s="60"/>
      <c r="I274" s="60"/>
      <c r="J274" s="413"/>
      <c r="K274" s="279"/>
      <c r="L274" s="279"/>
      <c r="M274" s="279"/>
      <c r="N274" s="279"/>
      <c r="O274" s="60"/>
      <c r="P274" s="60"/>
      <c r="Q274" s="60"/>
      <c r="R274" s="60"/>
      <c r="S274" s="60"/>
      <c r="T274" s="60"/>
      <c r="U274" s="60"/>
    </row>
    <row r="275" spans="2:21">
      <c r="B275" s="64"/>
      <c r="C275" s="65"/>
      <c r="D275" s="407"/>
      <c r="E275" s="60"/>
      <c r="F275" s="60"/>
      <c r="G275" s="60"/>
      <c r="H275" s="60"/>
      <c r="I275" s="60"/>
      <c r="J275" s="413"/>
      <c r="K275" s="279"/>
      <c r="L275" s="279"/>
      <c r="M275" s="279"/>
      <c r="N275" s="279"/>
      <c r="O275" s="60"/>
      <c r="P275" s="60"/>
      <c r="Q275" s="60"/>
      <c r="R275" s="60"/>
      <c r="S275" s="60"/>
      <c r="T275" s="60"/>
      <c r="U275" s="60"/>
    </row>
    <row r="276" spans="2:21">
      <c r="B276" s="64" t="s">
        <v>288</v>
      </c>
      <c r="C276" s="65"/>
      <c r="D276" s="407" t="s">
        <v>202</v>
      </c>
      <c r="E276" s="60"/>
      <c r="F276" s="60"/>
      <c r="G276" s="60"/>
      <c r="H276" s="60"/>
      <c r="I276" s="60"/>
      <c r="J276" s="413"/>
      <c r="K276" s="279"/>
      <c r="L276" s="279"/>
      <c r="M276" s="279"/>
      <c r="N276" s="279"/>
      <c r="O276" s="60"/>
      <c r="P276" s="60"/>
      <c r="Q276" s="60"/>
      <c r="R276" s="60"/>
      <c r="S276" s="60"/>
      <c r="T276" s="60"/>
      <c r="U276" s="60"/>
    </row>
    <row r="277" spans="2:21">
      <c r="B277" s="64"/>
      <c r="C277" s="65"/>
      <c r="D277" s="407" t="str">
        <f>"of the trued-up revenue requirement for each project, based on an FCR rate calculated from inputs on this TCOS. Line "&amp;B35&amp;" shows the incremental ARR for"</f>
        <v>of the trued-up revenue requirement for each project, based on an FCR rate calculated from inputs on this TCOS. Line 13 shows the incremental ARR for</v>
      </c>
      <c r="E277" s="60"/>
      <c r="F277" s="60"/>
      <c r="G277" s="60"/>
      <c r="H277" s="60"/>
      <c r="I277" s="60"/>
      <c r="J277" s="413"/>
      <c r="K277" s="279"/>
      <c r="L277" s="279"/>
      <c r="M277" s="279"/>
      <c r="N277" s="279"/>
      <c r="O277" s="60"/>
      <c r="P277" s="60"/>
      <c r="Q277" s="60"/>
      <c r="R277" s="60"/>
      <c r="S277" s="60"/>
      <c r="T277" s="60"/>
      <c r="U277" s="60"/>
    </row>
    <row r="278" spans="2:21">
      <c r="B278" s="64"/>
      <c r="C278" s="65"/>
      <c r="D278" s="407" t="s">
        <v>203</v>
      </c>
      <c r="E278" s="60"/>
      <c r="F278" s="60"/>
      <c r="G278" s="60"/>
      <c r="H278" s="60"/>
      <c r="I278" s="60"/>
      <c r="J278" s="413"/>
      <c r="K278" s="279"/>
      <c r="L278" s="279"/>
      <c r="M278" s="279"/>
      <c r="N278" s="279"/>
      <c r="O278" s="60"/>
      <c r="P278" s="57"/>
      <c r="Q278" s="57"/>
      <c r="R278" s="60"/>
      <c r="S278" s="60"/>
      <c r="T278" s="60"/>
      <c r="U278" s="60"/>
    </row>
    <row r="279" spans="2:21">
      <c r="B279" s="64"/>
      <c r="C279" s="65"/>
      <c r="D279" s="407"/>
      <c r="E279" s="60"/>
      <c r="F279" s="60"/>
      <c r="G279" s="60"/>
      <c r="H279" s="60"/>
      <c r="I279" s="60"/>
      <c r="J279" s="413"/>
      <c r="K279" s="279"/>
      <c r="L279" s="279"/>
      <c r="M279" s="279"/>
      <c r="N279" s="279"/>
      <c r="O279" s="60"/>
      <c r="P279" s="57"/>
      <c r="Q279" s="57"/>
      <c r="R279" s="60"/>
      <c r="S279" s="60"/>
      <c r="T279" s="60"/>
      <c r="U279" s="60"/>
    </row>
    <row r="280" spans="2:21">
      <c r="B280" s="64" t="s">
        <v>289</v>
      </c>
      <c r="C280" s="65"/>
      <c r="D280" s="1987" t="s">
        <v>887</v>
      </c>
      <c r="E280" s="1986"/>
      <c r="F280" s="1986"/>
      <c r="G280" s="1986"/>
      <c r="H280" s="1986"/>
      <c r="I280" s="1986"/>
      <c r="J280" s="1986"/>
      <c r="K280" s="279"/>
      <c r="L280" s="279"/>
      <c r="M280" s="279"/>
      <c r="N280" s="279"/>
      <c r="O280" s="60"/>
      <c r="P280" s="57"/>
      <c r="Q280" s="57"/>
      <c r="R280" s="60"/>
      <c r="S280" s="60"/>
      <c r="T280" s="60"/>
      <c r="U280" s="60"/>
    </row>
    <row r="281" spans="2:21">
      <c r="B281" s="64"/>
      <c r="C281" s="65"/>
      <c r="D281" s="1986"/>
      <c r="E281" s="1986"/>
      <c r="F281" s="1986"/>
      <c r="G281" s="1986"/>
      <c r="H281" s="1986"/>
      <c r="I281" s="1986"/>
      <c r="J281" s="1986"/>
      <c r="K281" s="279"/>
      <c r="L281" s="279"/>
      <c r="M281" s="279"/>
      <c r="N281" s="279"/>
      <c r="O281" s="60"/>
      <c r="P281" s="57"/>
      <c r="Q281" s="60"/>
      <c r="R281" s="60"/>
      <c r="S281" s="60"/>
      <c r="T281" s="60"/>
      <c r="U281" s="60"/>
    </row>
    <row r="282" spans="2:21">
      <c r="B282" s="64"/>
      <c r="C282" s="65"/>
      <c r="E282" s="60"/>
      <c r="F282" s="60"/>
      <c r="G282" s="60"/>
      <c r="H282" s="60"/>
      <c r="I282" s="60"/>
      <c r="J282" s="413"/>
      <c r="K282" s="279"/>
      <c r="L282" s="279"/>
      <c r="M282" s="279"/>
      <c r="N282" s="279"/>
      <c r="O282" s="60"/>
      <c r="P282" s="60"/>
      <c r="Q282" s="60"/>
      <c r="R282" s="60"/>
      <c r="S282" s="60"/>
      <c r="T282" s="60"/>
      <c r="U282" s="60"/>
    </row>
    <row r="283" spans="2:21">
      <c r="B283" s="64" t="s">
        <v>290</v>
      </c>
      <c r="C283" s="65"/>
      <c r="D283" s="57" t="s">
        <v>200</v>
      </c>
      <c r="E283" s="60"/>
      <c r="F283" s="60"/>
      <c r="G283" s="60"/>
      <c r="H283" s="60"/>
      <c r="I283" s="60"/>
      <c r="J283" s="413"/>
      <c r="K283" s="279"/>
      <c r="L283" s="279"/>
      <c r="M283" s="279"/>
      <c r="N283" s="279"/>
      <c r="O283" s="60"/>
      <c r="P283" s="60"/>
      <c r="Q283" s="60"/>
      <c r="R283" s="60"/>
      <c r="S283" s="60"/>
      <c r="T283" s="60"/>
      <c r="U283" s="60"/>
    </row>
    <row r="284" spans="2:21">
      <c r="B284" s="64"/>
      <c r="C284" s="65"/>
      <c r="D284" s="57" t="s">
        <v>416</v>
      </c>
      <c r="E284" s="60"/>
      <c r="F284" s="60"/>
      <c r="G284" s="60"/>
      <c r="H284" s="60"/>
      <c r="I284" s="60"/>
      <c r="J284" s="413"/>
      <c r="K284" s="279"/>
      <c r="L284" s="279"/>
      <c r="M284" s="279"/>
      <c r="N284" s="279"/>
      <c r="O284" s="60"/>
      <c r="P284" s="60"/>
      <c r="Q284" s="60"/>
      <c r="R284" s="60"/>
      <c r="S284" s="60"/>
      <c r="T284" s="60"/>
      <c r="U284" s="60"/>
    </row>
    <row r="285" spans="2:21">
      <c r="C285" s="65"/>
      <c r="D285" s="57" t="s">
        <v>624</v>
      </c>
      <c r="E285" s="60"/>
      <c r="F285" s="60"/>
      <c r="G285" s="60"/>
      <c r="H285" s="60"/>
      <c r="I285" s="60"/>
      <c r="J285" s="413"/>
      <c r="K285" s="279"/>
      <c r="L285" s="279"/>
      <c r="M285" s="279"/>
      <c r="N285" s="279"/>
      <c r="O285" s="60"/>
      <c r="P285" s="60"/>
      <c r="Q285" s="60"/>
      <c r="R285" s="60"/>
      <c r="S285" s="60"/>
      <c r="T285" s="60"/>
      <c r="U285" s="60"/>
    </row>
    <row r="286" spans="2:21">
      <c r="B286" s="64"/>
      <c r="C286" s="65"/>
      <c r="D286" s="57" t="s">
        <v>201</v>
      </c>
      <c r="E286" s="60"/>
      <c r="F286" s="60"/>
      <c r="G286" s="60"/>
      <c r="H286" s="60"/>
      <c r="I286" s="60"/>
      <c r="J286" s="413"/>
      <c r="K286" s="279"/>
      <c r="L286" s="279"/>
      <c r="M286" s="279"/>
      <c r="N286" s="279"/>
      <c r="O286" s="60"/>
      <c r="P286" s="60"/>
      <c r="Q286" s="60"/>
      <c r="R286" s="60"/>
      <c r="S286" s="60"/>
      <c r="T286" s="60"/>
      <c r="U286" s="60"/>
    </row>
    <row r="287" spans="2:21">
      <c r="B287" s="64"/>
      <c r="C287" s="65"/>
      <c r="D287" s="57"/>
      <c r="E287" s="60"/>
      <c r="F287" s="60"/>
      <c r="G287" s="60"/>
      <c r="H287" s="60"/>
      <c r="I287" s="60"/>
      <c r="J287" s="413"/>
      <c r="K287" s="279"/>
      <c r="L287" s="279"/>
      <c r="M287" s="279"/>
      <c r="N287" s="279"/>
      <c r="O287" s="60"/>
      <c r="P287" s="60"/>
      <c r="Q287" s="60"/>
      <c r="R287" s="60"/>
      <c r="S287" s="60"/>
      <c r="T287" s="60"/>
      <c r="U287" s="60"/>
    </row>
    <row r="288" spans="2:21">
      <c r="B288" s="64" t="s">
        <v>291</v>
      </c>
      <c r="C288" s="65"/>
      <c r="D288" s="57" t="s">
        <v>135</v>
      </c>
      <c r="E288" s="60"/>
      <c r="F288" s="60"/>
      <c r="G288" s="60"/>
      <c r="H288" s="60"/>
      <c r="I288" s="60"/>
      <c r="J288" s="413"/>
      <c r="K288" s="279"/>
      <c r="L288" s="279"/>
      <c r="M288" s="279"/>
      <c r="N288" s="279"/>
      <c r="O288" s="60"/>
      <c r="P288" s="60"/>
      <c r="Q288" s="60"/>
      <c r="R288" s="60"/>
      <c r="S288" s="60"/>
      <c r="T288" s="60"/>
      <c r="U288" s="60"/>
    </row>
    <row r="289" spans="2:21">
      <c r="B289" s="64"/>
      <c r="C289" s="65"/>
      <c r="D289" s="57"/>
      <c r="E289" s="60"/>
      <c r="F289" s="60"/>
      <c r="G289" s="60"/>
      <c r="H289" s="60"/>
      <c r="I289" s="60"/>
      <c r="J289" s="413"/>
      <c r="K289" s="279"/>
      <c r="L289" s="279"/>
      <c r="M289" s="279"/>
      <c r="N289" s="279"/>
      <c r="O289" s="60"/>
      <c r="P289" s="60"/>
      <c r="Q289" s="60"/>
      <c r="R289" s="60"/>
      <c r="S289" s="60"/>
      <c r="T289" s="60"/>
      <c r="U289" s="60"/>
    </row>
    <row r="290" spans="2:21">
      <c r="B290" s="64" t="s">
        <v>292</v>
      </c>
      <c r="C290" s="65"/>
      <c r="D290" s="57" t="str">
        <f>"Cash Working Capital assigned to transmission is one-eighth of O&amp;M allocated to transmission on line "&amp;B134&amp;"."</f>
        <v>Cash Working Capital assigned to transmission is one-eighth of O&amp;M allocated to transmission on line 70.</v>
      </c>
      <c r="E290" s="60"/>
      <c r="F290" s="60"/>
      <c r="G290" s="60"/>
      <c r="H290" s="60"/>
      <c r="I290" s="60"/>
      <c r="J290" s="413"/>
      <c r="K290" s="279"/>
      <c r="L290" s="279"/>
      <c r="M290" s="279"/>
      <c r="N290" s="279"/>
      <c r="O290" s="60"/>
      <c r="P290" s="60"/>
      <c r="Q290" s="60"/>
      <c r="R290" s="60"/>
      <c r="S290" s="60"/>
      <c r="T290" s="60"/>
      <c r="U290" s="60"/>
    </row>
    <row r="291" spans="2:21">
      <c r="B291" s="64"/>
      <c r="C291" s="65"/>
      <c r="D291" s="57"/>
      <c r="E291" s="60"/>
      <c r="F291" s="60"/>
      <c r="G291" s="60"/>
      <c r="H291" s="60"/>
      <c r="I291" s="60"/>
      <c r="J291" s="413"/>
      <c r="K291" s="279"/>
      <c r="L291" s="279"/>
      <c r="M291" s="279"/>
      <c r="N291" s="279"/>
      <c r="O291" s="60"/>
      <c r="P291" s="60"/>
      <c r="Q291" s="60"/>
      <c r="R291" s="60"/>
      <c r="S291" s="60"/>
      <c r="T291" s="60"/>
      <c r="U291" s="60"/>
    </row>
    <row r="292" spans="2:21">
      <c r="B292" s="346" t="s">
        <v>293</v>
      </c>
      <c r="C292" s="100"/>
      <c r="D292" s="53" t="str">
        <f>"Consistent with Paragraph 657 of Order 2003-A, the amount on line "&amp;B116&amp;" is equal to the balance of IPP System Upgrade Credits owed to transmission customers that"</f>
        <v>Consistent with Paragraph 657 of Order 2003-A, the amount on line  is equal to the balance of IPP System Upgrade Credits owed to transmission customers that</v>
      </c>
      <c r="J292" s="342"/>
      <c r="K292" s="279"/>
      <c r="L292" s="279"/>
      <c r="M292" s="279"/>
      <c r="N292" s="279"/>
      <c r="O292" s="60"/>
      <c r="P292" s="60"/>
      <c r="Q292" s="60"/>
      <c r="R292" s="60"/>
      <c r="S292" s="60"/>
      <c r="T292" s="60"/>
      <c r="U292" s="60"/>
    </row>
    <row r="293" spans="2:21">
      <c r="D293" s="53" t="s">
        <v>354</v>
      </c>
      <c r="J293" s="342"/>
      <c r="K293" s="279"/>
      <c r="L293" s="279"/>
      <c r="M293" s="279"/>
      <c r="N293" s="279"/>
      <c r="O293" s="60"/>
      <c r="P293" s="60"/>
      <c r="Q293" s="60"/>
      <c r="R293" s="60"/>
      <c r="S293" s="60"/>
      <c r="T293" s="60"/>
      <c r="U293" s="60"/>
    </row>
    <row r="294" spans="2:21">
      <c r="D294" s="53" t="str">
        <f>"expense is included on line "&amp;B186&amp;"."</f>
        <v>expense is included on line 113.</v>
      </c>
      <c r="J294" s="342"/>
      <c r="K294" s="279"/>
      <c r="L294" s="279"/>
      <c r="M294" s="279"/>
      <c r="N294" s="279"/>
      <c r="O294" s="60"/>
      <c r="P294" s="60"/>
      <c r="Q294" s="60"/>
      <c r="R294" s="60"/>
      <c r="S294" s="60"/>
      <c r="T294" s="60"/>
      <c r="U294" s="60"/>
    </row>
    <row r="295" spans="2:21">
      <c r="J295" s="342"/>
      <c r="K295" s="279"/>
      <c r="L295" s="279"/>
      <c r="M295" s="279"/>
      <c r="N295" s="279"/>
      <c r="O295" s="60"/>
      <c r="P295" s="60"/>
      <c r="Q295" s="60"/>
      <c r="R295" s="60"/>
      <c r="S295" s="60"/>
      <c r="T295" s="60"/>
      <c r="U295" s="60"/>
    </row>
    <row r="296" spans="2:21" ht="20.25" customHeight="1">
      <c r="B296" s="346" t="s">
        <v>294</v>
      </c>
      <c r="D296" s="1984" t="str">
        <f>"Line "&amp;B129&amp;" Removes the expense booked to transmission accounts included in the development of OATT ancillary services rates, including all of Account No. 561."</f>
        <v>Line 65 Removes the expense booked to transmission accounts included in the development of OATT ancillary services rates, including all of Account No. 561.</v>
      </c>
      <c r="E296" s="1984"/>
      <c r="F296" s="1984"/>
      <c r="G296" s="1984"/>
      <c r="H296" s="1984"/>
      <c r="I296" s="1984"/>
      <c r="J296" s="1984"/>
      <c r="K296" s="279"/>
      <c r="L296" s="279"/>
      <c r="M296" s="279"/>
      <c r="N296" s="279"/>
      <c r="O296" s="60"/>
      <c r="P296" s="60"/>
      <c r="Q296" s="60"/>
      <c r="R296" s="60"/>
      <c r="S296" s="60"/>
      <c r="T296" s="60"/>
      <c r="U296" s="60"/>
    </row>
    <row r="297" spans="2:21">
      <c r="B297" s="346"/>
      <c r="D297" s="57"/>
      <c r="J297" s="342"/>
      <c r="K297" s="279"/>
      <c r="L297" s="279"/>
      <c r="M297" s="279"/>
      <c r="N297" s="279"/>
      <c r="O297" s="60"/>
      <c r="P297" s="60"/>
      <c r="Q297" s="60"/>
      <c r="R297" s="60"/>
      <c r="S297" s="60"/>
      <c r="T297" s="60"/>
      <c r="U297" s="60"/>
    </row>
    <row r="298" spans="2:21">
      <c r="B298" s="346" t="s">
        <v>295</v>
      </c>
      <c r="D298" s="53" t="s">
        <v>136</v>
      </c>
      <c r="J298" s="342"/>
      <c r="K298" s="279"/>
      <c r="L298" s="279"/>
      <c r="M298" s="279"/>
      <c r="N298" s="279"/>
      <c r="O298" s="60"/>
      <c r="P298" s="60"/>
      <c r="Q298" s="60"/>
      <c r="R298" s="60"/>
      <c r="S298" s="60"/>
      <c r="T298" s="60"/>
      <c r="U298" s="60"/>
    </row>
    <row r="299" spans="2:21">
      <c r="B299" s="346"/>
      <c r="J299" s="342"/>
      <c r="K299" s="279"/>
      <c r="L299" s="279"/>
      <c r="M299" s="279"/>
      <c r="N299" s="279"/>
      <c r="O299" s="60"/>
      <c r="P299" s="60"/>
      <c r="Q299" s="60"/>
      <c r="R299" s="60"/>
      <c r="S299" s="60"/>
      <c r="T299" s="60"/>
      <c r="U299" s="60"/>
    </row>
    <row r="300" spans="2:21">
      <c r="B300" s="64" t="s">
        <v>296</v>
      </c>
      <c r="D300" s="53" t="s">
        <v>673</v>
      </c>
      <c r="J300" s="342"/>
      <c r="K300" s="279"/>
      <c r="L300" s="279"/>
      <c r="M300" s="279"/>
      <c r="N300" s="279"/>
      <c r="O300" s="60"/>
      <c r="P300" s="60"/>
      <c r="Q300" s="60"/>
      <c r="R300" s="60"/>
      <c r="S300" s="60"/>
      <c r="T300" s="60"/>
      <c r="U300" s="60"/>
    </row>
    <row r="301" spans="2:21">
      <c r="B301" s="346"/>
      <c r="J301" s="342"/>
      <c r="K301" s="279"/>
      <c r="L301" s="279"/>
      <c r="M301" s="279"/>
      <c r="N301" s="279"/>
      <c r="O301" s="60"/>
      <c r="P301" s="60"/>
      <c r="Q301" s="60"/>
      <c r="R301" s="60"/>
      <c r="S301" s="60"/>
      <c r="T301" s="60"/>
      <c r="U301" s="60"/>
    </row>
    <row r="302" spans="2:21">
      <c r="B302" s="64" t="s">
        <v>297</v>
      </c>
      <c r="C302" s="65"/>
      <c r="D302" s="57" t="s">
        <v>888</v>
      </c>
      <c r="E302" s="60"/>
      <c r="F302" s="60"/>
      <c r="G302" s="60"/>
      <c r="H302" s="60"/>
      <c r="I302" s="60"/>
      <c r="J302" s="413"/>
      <c r="K302" s="279"/>
      <c r="L302" s="279"/>
      <c r="M302" s="279"/>
      <c r="N302" s="279"/>
      <c r="O302" s="60"/>
      <c r="P302" s="60"/>
      <c r="Q302" s="60"/>
      <c r="R302" s="60"/>
      <c r="S302" s="60"/>
      <c r="T302" s="60"/>
      <c r="U302" s="60"/>
    </row>
    <row r="303" spans="2:21">
      <c r="B303" s="64"/>
      <c r="C303" s="65"/>
      <c r="D303" s="57" t="s">
        <v>137</v>
      </c>
      <c r="E303" s="60"/>
      <c r="F303" s="60"/>
      <c r="G303" s="60"/>
      <c r="H303" s="60"/>
      <c r="I303" s="60"/>
      <c r="J303" s="413"/>
      <c r="K303" s="279"/>
      <c r="L303" s="279"/>
      <c r="M303" s="279"/>
      <c r="N303" s="279"/>
      <c r="O303" s="60"/>
      <c r="P303" s="60"/>
      <c r="Q303" s="60"/>
      <c r="R303" s="60"/>
      <c r="S303" s="60"/>
      <c r="T303" s="60"/>
      <c r="U303" s="60"/>
    </row>
    <row r="304" spans="2:21">
      <c r="B304" s="64"/>
      <c r="C304" s="65"/>
      <c r="D304" s="57" t="s">
        <v>138</v>
      </c>
      <c r="E304" s="60"/>
      <c r="F304" s="60"/>
      <c r="G304" s="60"/>
      <c r="H304" s="60"/>
      <c r="I304" s="60"/>
      <c r="J304" s="413"/>
      <c r="K304" s="279"/>
      <c r="L304" s="279"/>
      <c r="M304" s="279"/>
      <c r="N304" s="279"/>
      <c r="O304" s="60"/>
      <c r="P304" s="60"/>
      <c r="Q304" s="60"/>
      <c r="R304" s="60"/>
      <c r="S304" s="60"/>
      <c r="T304" s="60"/>
      <c r="U304" s="60"/>
    </row>
    <row r="305" spans="2:21">
      <c r="B305" s="64"/>
      <c r="C305" s="65"/>
      <c r="D305" s="53" t="s">
        <v>889</v>
      </c>
      <c r="E305" s="60"/>
      <c r="F305" s="60"/>
      <c r="G305" s="60"/>
      <c r="H305" s="60"/>
      <c r="I305" s="60"/>
      <c r="J305" s="413"/>
      <c r="K305" s="279"/>
      <c r="L305" s="279"/>
      <c r="M305" s="279"/>
      <c r="N305" s="279"/>
      <c r="O305" s="60"/>
      <c r="P305" s="60"/>
      <c r="Q305" s="60"/>
      <c r="R305" s="60"/>
      <c r="S305" s="60"/>
      <c r="T305" s="60"/>
      <c r="U305" s="60"/>
    </row>
    <row r="306" spans="2:21">
      <c r="B306" s="64"/>
      <c r="C306" s="65"/>
      <c r="E306" s="60"/>
      <c r="F306" s="60"/>
      <c r="G306" s="60"/>
      <c r="H306" s="60"/>
      <c r="I306" s="60"/>
      <c r="J306" s="413"/>
      <c r="K306" s="279"/>
      <c r="L306" s="279"/>
      <c r="M306" s="279"/>
      <c r="N306" s="279"/>
      <c r="O306" s="60"/>
      <c r="P306" s="60"/>
      <c r="Q306" s="60"/>
      <c r="R306" s="60"/>
      <c r="S306" s="60"/>
      <c r="T306" s="60"/>
      <c r="U306" s="60"/>
    </row>
    <row r="307" spans="2:21" ht="62.25" customHeight="1">
      <c r="B307" s="414" t="s">
        <v>298</v>
      </c>
      <c r="C307" s="65"/>
      <c r="D307" s="1981" t="s">
        <v>668</v>
      </c>
      <c r="E307" s="1981"/>
      <c r="F307" s="1981"/>
      <c r="G307" s="1981"/>
      <c r="H307" s="1981"/>
      <c r="I307" s="1981"/>
      <c r="J307" s="1981"/>
      <c r="K307" s="279"/>
      <c r="L307" s="279"/>
      <c r="M307" s="279"/>
      <c r="N307" s="279"/>
      <c r="O307" s="60"/>
      <c r="P307" s="60"/>
      <c r="Q307" s="60"/>
      <c r="R307" s="60"/>
      <c r="S307" s="60"/>
      <c r="T307" s="60"/>
      <c r="U307" s="60"/>
    </row>
    <row r="308" spans="2:21">
      <c r="B308" s="100"/>
      <c r="C308" s="65"/>
      <c r="E308" s="60"/>
      <c r="F308" s="60"/>
      <c r="G308" s="60"/>
      <c r="H308" s="60"/>
      <c r="I308" s="60"/>
      <c r="J308" s="413"/>
      <c r="K308" s="279"/>
      <c r="L308" s="279"/>
      <c r="M308" s="279"/>
      <c r="N308" s="279"/>
      <c r="O308" s="60"/>
      <c r="P308" s="60"/>
      <c r="Q308" s="60"/>
      <c r="R308" s="60"/>
      <c r="S308" s="60"/>
      <c r="T308" s="60"/>
      <c r="U308" s="60"/>
    </row>
    <row r="309" spans="2:21" ht="30.75" customHeight="1">
      <c r="B309" s="414" t="s">
        <v>366</v>
      </c>
      <c r="C309" s="65"/>
      <c r="D309" s="1983" t="s">
        <v>625</v>
      </c>
      <c r="E309" s="1983"/>
      <c r="F309" s="1983"/>
      <c r="G309" s="1983"/>
      <c r="H309" s="1983"/>
      <c r="I309" s="1983"/>
      <c r="J309" s="1983"/>
      <c r="K309" s="279"/>
      <c r="L309" s="279"/>
      <c r="M309" s="279"/>
      <c r="N309" s="279"/>
      <c r="O309" s="60"/>
      <c r="P309" s="60"/>
      <c r="Q309" s="60"/>
      <c r="R309" s="60"/>
      <c r="S309" s="60"/>
      <c r="T309" s="60"/>
      <c r="U309" s="60"/>
    </row>
    <row r="310" spans="2:21">
      <c r="C310" s="65"/>
      <c r="D310" s="164"/>
      <c r="E310" s="164"/>
      <c r="F310" s="164"/>
      <c r="G310" s="164"/>
      <c r="H310" s="164"/>
      <c r="I310" s="164"/>
      <c r="J310" s="164"/>
      <c r="K310" s="279"/>
      <c r="L310" s="279"/>
      <c r="M310" s="279"/>
      <c r="N310" s="279"/>
      <c r="O310" s="60"/>
      <c r="P310" s="60"/>
      <c r="Q310" s="60"/>
      <c r="R310" s="60"/>
      <c r="S310" s="60"/>
      <c r="T310" s="60"/>
      <c r="U310" s="60"/>
    </row>
    <row r="311" spans="2:21">
      <c r="B311" s="64" t="s">
        <v>387</v>
      </c>
      <c r="C311" s="65"/>
      <c r="D311" s="57" t="s">
        <v>408</v>
      </c>
      <c r="E311" s="60"/>
      <c r="F311" s="60"/>
      <c r="G311" s="60"/>
      <c r="H311" s="60"/>
      <c r="I311" s="60"/>
      <c r="J311" s="413"/>
      <c r="K311" s="279"/>
      <c r="L311" s="279"/>
      <c r="M311" s="279"/>
      <c r="N311" s="279"/>
      <c r="O311" s="60"/>
      <c r="P311" s="60"/>
      <c r="Q311" s="60"/>
      <c r="R311" s="60"/>
      <c r="S311" s="60"/>
      <c r="T311" s="60"/>
      <c r="U311" s="60"/>
    </row>
    <row r="312" spans="2:21">
      <c r="B312" s="64"/>
      <c r="C312" s="65"/>
      <c r="D312" s="57" t="s">
        <v>2</v>
      </c>
      <c r="E312" s="60"/>
      <c r="F312" s="60"/>
      <c r="G312" s="60"/>
      <c r="H312" s="60"/>
      <c r="I312" s="60"/>
      <c r="J312" s="413"/>
      <c r="K312" s="279"/>
      <c r="L312" s="279"/>
      <c r="M312" s="279"/>
      <c r="N312" s="279"/>
      <c r="O312" s="60"/>
      <c r="P312" s="60"/>
      <c r="Q312" s="60"/>
      <c r="R312" s="60"/>
      <c r="S312" s="60"/>
      <c r="T312" s="60"/>
      <c r="U312" s="60"/>
    </row>
    <row r="313" spans="2:21">
      <c r="B313" s="64"/>
      <c r="C313" s="65"/>
      <c r="D313" s="57" t="s">
        <v>3</v>
      </c>
      <c r="E313" s="60"/>
      <c r="F313" s="60"/>
      <c r="G313" s="60"/>
      <c r="H313" s="60"/>
      <c r="I313" s="60"/>
      <c r="J313" s="413"/>
      <c r="K313" s="279"/>
      <c r="L313" s="279"/>
      <c r="M313" s="279"/>
      <c r="N313" s="279"/>
      <c r="O313" s="60"/>
      <c r="P313" s="60"/>
      <c r="Q313" s="60"/>
      <c r="R313" s="60"/>
      <c r="S313" s="60"/>
      <c r="T313" s="60"/>
      <c r="U313" s="60"/>
    </row>
    <row r="314" spans="2:21">
      <c r="B314" s="64"/>
      <c r="C314" s="65"/>
      <c r="D314" s="57" t="s">
        <v>4</v>
      </c>
      <c r="E314" s="60"/>
      <c r="F314" s="60"/>
      <c r="G314" s="60"/>
      <c r="H314" s="60"/>
      <c r="I314" s="60"/>
      <c r="J314" s="413"/>
      <c r="K314" s="279"/>
      <c r="L314" s="279"/>
      <c r="M314" s="279"/>
      <c r="N314" s="279"/>
      <c r="O314" s="60"/>
      <c r="P314" s="60"/>
      <c r="Q314" s="60"/>
      <c r="R314" s="60"/>
      <c r="S314" s="60"/>
      <c r="T314" s="60"/>
      <c r="U314" s="60"/>
    </row>
    <row r="315" spans="2:21">
      <c r="B315" s="64"/>
      <c r="C315" s="65"/>
      <c r="D315" s="57" t="s">
        <v>5</v>
      </c>
      <c r="E315" s="60"/>
      <c r="F315" s="60"/>
      <c r="G315" s="60"/>
      <c r="H315" s="60"/>
      <c r="I315" s="60"/>
      <c r="J315" s="413"/>
      <c r="K315" s="279"/>
      <c r="L315" s="279"/>
      <c r="M315" s="279"/>
      <c r="N315" s="279"/>
      <c r="O315" s="60"/>
      <c r="P315" s="60"/>
      <c r="Q315" s="60"/>
      <c r="R315" s="60"/>
      <c r="S315" s="60"/>
      <c r="T315" s="60"/>
      <c r="U315" s="60"/>
    </row>
    <row r="316" spans="2:21">
      <c r="B316" s="64"/>
      <c r="C316" s="65"/>
      <c r="D316" s="57" t="str">
        <f>"(ln "&amp;B168&amp;") multiplied by (1/1-T) .  If the applicable tax rates are zero enter 0."</f>
        <v>(ln 99) multiplied by (1/1-T) .  If the applicable tax rates are zero enter 0.</v>
      </c>
      <c r="E316" s="60"/>
      <c r="F316" s="60"/>
      <c r="G316" s="60"/>
      <c r="H316" s="60"/>
      <c r="I316" s="60"/>
      <c r="J316" s="413"/>
      <c r="K316" s="279"/>
      <c r="L316" s="279"/>
      <c r="M316" s="279"/>
      <c r="N316" s="279"/>
      <c r="O316" s="60"/>
      <c r="P316" s="60"/>
      <c r="Q316" s="60"/>
      <c r="R316" s="60"/>
      <c r="S316" s="60"/>
      <c r="T316" s="60"/>
      <c r="U316" s="60"/>
    </row>
    <row r="317" spans="2:21">
      <c r="B317" s="64" t="s">
        <v>253</v>
      </c>
      <c r="C317" s="65"/>
      <c r="D317" s="57" t="s">
        <v>6</v>
      </c>
      <c r="E317" s="60" t="s">
        <v>7</v>
      </c>
      <c r="F317" s="401">
        <v>0.21</v>
      </c>
      <c r="G317" s="60"/>
      <c r="I317" s="60"/>
      <c r="J317" s="413"/>
      <c r="K317" s="279"/>
      <c r="L317" s="279"/>
      <c r="M317" s="279"/>
      <c r="N317" s="279"/>
      <c r="O317" s="60"/>
      <c r="P317" s="60"/>
      <c r="Q317" s="60"/>
      <c r="R317" s="60"/>
      <c r="S317" s="60"/>
      <c r="T317" s="60"/>
      <c r="U317" s="60"/>
    </row>
    <row r="318" spans="2:21">
      <c r="B318" s="64"/>
      <c r="C318" s="65"/>
      <c r="D318" s="57"/>
      <c r="E318" s="60" t="s">
        <v>8</v>
      </c>
      <c r="F318" s="303">
        <f>+'SWT WS K State Taxes'!F29</f>
        <v>0.08</v>
      </c>
      <c r="G318" s="60" t="s">
        <v>117</v>
      </c>
      <c r="I318" s="60"/>
      <c r="J318" s="413"/>
      <c r="K318" s="279"/>
      <c r="L318" s="279"/>
      <c r="M318" s="279"/>
      <c r="N318" s="279"/>
      <c r="O318" s="60"/>
      <c r="P318" s="60"/>
      <c r="Q318" s="60"/>
      <c r="R318" s="60"/>
      <c r="S318" s="60"/>
      <c r="T318" s="60"/>
      <c r="U318" s="60"/>
    </row>
    <row r="319" spans="2:21">
      <c r="B319" s="64"/>
      <c r="C319" s="65"/>
      <c r="D319" s="57"/>
      <c r="E319" s="60" t="s">
        <v>9</v>
      </c>
      <c r="F319" s="401">
        <v>0</v>
      </c>
      <c r="G319" s="60" t="s">
        <v>10</v>
      </c>
      <c r="I319" s="60"/>
      <c r="J319" s="413"/>
      <c r="K319" s="279"/>
      <c r="L319" s="279"/>
      <c r="M319" s="279"/>
      <c r="N319" s="279"/>
      <c r="O319" s="60"/>
      <c r="P319" s="60"/>
      <c r="Q319" s="60"/>
      <c r="R319" s="60"/>
      <c r="S319" s="60"/>
      <c r="T319" s="60"/>
      <c r="U319" s="60"/>
    </row>
    <row r="320" spans="2:21" ht="39.75" customHeight="1">
      <c r="B320" s="64"/>
      <c r="C320" s="65"/>
      <c r="D320" s="1982" t="s">
        <v>899</v>
      </c>
      <c r="E320" s="1982"/>
      <c r="F320" s="1982"/>
      <c r="G320" s="1982"/>
      <c r="H320" s="1982"/>
      <c r="I320" s="1982"/>
      <c r="J320" s="1982"/>
      <c r="K320" s="415"/>
      <c r="L320" s="415"/>
      <c r="M320" s="279"/>
      <c r="N320" s="279"/>
      <c r="O320" s="60"/>
      <c r="P320" s="60"/>
      <c r="Q320" s="60"/>
      <c r="R320" s="60"/>
      <c r="S320" s="60"/>
      <c r="T320" s="60"/>
      <c r="U320" s="60"/>
    </row>
    <row r="321" spans="2:21">
      <c r="B321" s="64"/>
      <c r="C321" s="65"/>
      <c r="D321" s="57"/>
      <c r="E321" s="60"/>
      <c r="F321" s="303"/>
      <c r="G321" s="60"/>
      <c r="I321" s="60"/>
      <c r="J321" s="413"/>
      <c r="K321" s="279"/>
      <c r="L321" s="279"/>
      <c r="M321" s="279"/>
      <c r="N321" s="279"/>
      <c r="O321" s="60"/>
      <c r="P321" s="60"/>
      <c r="Q321" s="60"/>
      <c r="R321" s="60"/>
      <c r="S321" s="60"/>
      <c r="T321" s="60"/>
      <c r="U321" s="60"/>
    </row>
    <row r="322" spans="2:21">
      <c r="B322" s="64"/>
      <c r="C322" s="65"/>
      <c r="D322" s="57"/>
      <c r="E322" s="60"/>
      <c r="F322" s="303"/>
      <c r="G322" s="60"/>
      <c r="I322" s="60"/>
      <c r="J322" s="413"/>
      <c r="K322" s="279"/>
      <c r="L322" s="279"/>
      <c r="M322" s="279"/>
      <c r="N322" s="279"/>
      <c r="O322" s="60"/>
      <c r="P322" s="60"/>
      <c r="Q322" s="60"/>
      <c r="R322" s="60"/>
      <c r="S322" s="60"/>
      <c r="T322" s="60"/>
      <c r="U322" s="60"/>
    </row>
    <row r="323" spans="2:21">
      <c r="B323" s="64" t="s">
        <v>11</v>
      </c>
      <c r="C323" s="65"/>
      <c r="D323" s="57" t="s">
        <v>669</v>
      </c>
      <c r="E323" s="60"/>
      <c r="F323" s="60"/>
      <c r="G323" s="303"/>
      <c r="H323" s="60"/>
      <c r="I323" s="60"/>
      <c r="J323" s="413"/>
      <c r="K323" s="279"/>
      <c r="L323" s="279"/>
      <c r="M323" s="279"/>
      <c r="N323" s="279"/>
      <c r="O323" s="60"/>
      <c r="P323" s="60"/>
      <c r="Q323" s="60"/>
      <c r="R323" s="60"/>
      <c r="S323" s="60"/>
      <c r="T323" s="60"/>
      <c r="U323" s="60"/>
    </row>
    <row r="324" spans="2:21">
      <c r="B324" s="64"/>
      <c r="C324" s="65"/>
      <c r="D324" s="57" t="s">
        <v>0</v>
      </c>
      <c r="E324" s="60"/>
      <c r="F324" s="60"/>
      <c r="G324" s="303"/>
      <c r="H324" s="60"/>
      <c r="I324" s="60"/>
      <c r="J324" s="413"/>
      <c r="K324" s="279"/>
      <c r="L324" s="279"/>
      <c r="M324" s="279"/>
      <c r="N324" s="279"/>
      <c r="O324" s="60"/>
      <c r="P324" s="60"/>
      <c r="Q324" s="60"/>
      <c r="R324" s="60"/>
      <c r="S324" s="60"/>
      <c r="T324" s="60"/>
      <c r="U324" s="60"/>
    </row>
    <row r="325" spans="2:21">
      <c r="B325" s="64"/>
      <c r="C325" s="65"/>
      <c r="D325" s="57"/>
      <c r="E325" s="60"/>
      <c r="F325" s="60"/>
      <c r="G325" s="303"/>
      <c r="H325" s="60"/>
      <c r="I325" s="60"/>
      <c r="J325" s="413"/>
      <c r="K325" s="279"/>
      <c r="L325" s="279"/>
      <c r="M325" s="279"/>
      <c r="N325" s="279"/>
      <c r="O325" s="60"/>
      <c r="P325" s="60"/>
      <c r="Q325" s="60"/>
      <c r="R325" s="60"/>
      <c r="S325" s="60"/>
      <c r="T325" s="60"/>
      <c r="U325" s="60"/>
    </row>
    <row r="326" spans="2:21" ht="20.25" customHeight="1">
      <c r="B326" s="416" t="s">
        <v>12</v>
      </c>
      <c r="C326" s="417"/>
      <c r="D326" s="1981" t="s">
        <v>918</v>
      </c>
      <c r="E326" s="1981"/>
      <c r="F326" s="1981"/>
      <c r="G326" s="1981"/>
      <c r="H326" s="1981"/>
      <c r="I326" s="1981"/>
      <c r="J326" s="1981"/>
      <c r="K326" s="279"/>
      <c r="L326" s="279"/>
      <c r="M326" s="279"/>
      <c r="N326" s="279"/>
      <c r="O326" s="60"/>
      <c r="P326" s="60"/>
      <c r="Q326" s="60"/>
      <c r="R326" s="60"/>
      <c r="S326" s="60"/>
      <c r="T326" s="60"/>
      <c r="U326" s="60"/>
    </row>
    <row r="327" spans="2:21">
      <c r="B327" s="53"/>
      <c r="D327" s="57"/>
      <c r="J327" s="342"/>
      <c r="K327" s="279"/>
      <c r="L327" s="279"/>
      <c r="M327" s="279"/>
      <c r="N327" s="279"/>
      <c r="O327" s="60"/>
      <c r="P327" s="60"/>
      <c r="Q327" s="60"/>
      <c r="R327" s="60"/>
      <c r="S327" s="60"/>
      <c r="T327" s="60"/>
      <c r="U327" s="60"/>
    </row>
    <row r="328" spans="2:21">
      <c r="B328" s="64" t="s">
        <v>13</v>
      </c>
      <c r="C328" s="65"/>
      <c r="D328" s="57" t="s">
        <v>531</v>
      </c>
      <c r="J328" s="342"/>
      <c r="K328" s="279"/>
      <c r="L328" s="279"/>
      <c r="M328" s="279"/>
      <c r="N328" s="279"/>
      <c r="O328" s="60"/>
      <c r="P328" s="60"/>
      <c r="Q328" s="60"/>
      <c r="R328" s="60"/>
      <c r="S328" s="60"/>
      <c r="T328" s="60"/>
      <c r="U328" s="60"/>
    </row>
    <row r="329" spans="2:21">
      <c r="B329" s="64"/>
      <c r="C329" s="65"/>
      <c r="D329" s="57"/>
      <c r="E329" s="60"/>
      <c r="F329" s="60"/>
      <c r="G329" s="60"/>
      <c r="H329" s="60"/>
      <c r="I329" s="60"/>
      <c r="J329" s="413"/>
      <c r="K329" s="279"/>
      <c r="L329" s="279"/>
      <c r="M329" s="279"/>
      <c r="N329" s="279"/>
      <c r="O329" s="60"/>
      <c r="P329" s="60"/>
      <c r="Q329" s="60"/>
      <c r="R329" s="60"/>
      <c r="S329" s="60"/>
      <c r="T329" s="60"/>
      <c r="U329" s="60"/>
    </row>
    <row r="330" spans="2:21">
      <c r="B330" s="64" t="s">
        <v>14</v>
      </c>
      <c r="C330" s="65"/>
      <c r="D330" s="57" t="s">
        <v>140</v>
      </c>
      <c r="E330" s="60"/>
      <c r="F330" s="60"/>
      <c r="G330" s="60"/>
      <c r="H330" s="60"/>
      <c r="I330" s="60"/>
      <c r="J330" s="413"/>
      <c r="K330" s="279"/>
      <c r="L330" s="279"/>
      <c r="M330" s="279"/>
      <c r="N330" s="279"/>
      <c r="O330" s="60"/>
      <c r="P330" s="60"/>
      <c r="Q330" s="60"/>
      <c r="R330" s="60"/>
      <c r="S330" s="60"/>
      <c r="T330" s="60"/>
      <c r="U330" s="60"/>
    </row>
    <row r="331" spans="2:21">
      <c r="B331" s="64"/>
      <c r="C331" s="65"/>
      <c r="D331" s="57"/>
      <c r="E331" s="60"/>
      <c r="F331" s="60"/>
      <c r="G331" s="60"/>
      <c r="H331" s="60"/>
      <c r="I331" s="60"/>
      <c r="J331" s="413"/>
      <c r="K331" s="279"/>
      <c r="L331" s="279"/>
      <c r="M331" s="279"/>
      <c r="N331" s="279"/>
      <c r="O331" s="60"/>
      <c r="P331" s="60"/>
      <c r="Q331" s="60"/>
      <c r="R331" s="60"/>
      <c r="S331" s="60"/>
      <c r="T331" s="60"/>
      <c r="U331" s="60"/>
    </row>
    <row r="332" spans="2:21">
      <c r="B332" s="346" t="s">
        <v>55</v>
      </c>
      <c r="C332" s="100"/>
      <c r="D332" s="57" t="str">
        <f>"Long Term Debt cost rate = Long-Term Interest (ln "&amp;B226&amp;") / Long Term Debt (ln "&amp;B236&amp;").  Preferred Stock cost rate = preferred dividends (ln "&amp;B227&amp;") / preferred outstanding (ln "&amp;B237&amp;")."</f>
        <v>Long Term Debt cost rate = Long-Term Interest (ln 133) / Long Term Debt (ln 142).  Preferred Stock cost rate = preferred dividends (ln 134) / preferred outstanding (ln 143).</v>
      </c>
      <c r="J332" s="342"/>
      <c r="M332" s="279"/>
      <c r="N332" s="279"/>
      <c r="O332" s="60"/>
      <c r="P332" s="60"/>
      <c r="Q332" s="60"/>
      <c r="R332" s="60"/>
      <c r="S332" s="60"/>
      <c r="T332" s="60"/>
      <c r="U332" s="60"/>
    </row>
    <row r="333" spans="2:21">
      <c r="D333" s="57" t="s">
        <v>1069</v>
      </c>
      <c r="J333" s="342"/>
      <c r="M333" s="279"/>
      <c r="N333" s="279"/>
      <c r="O333" s="60"/>
      <c r="P333" s="60"/>
      <c r="Q333" s="60"/>
      <c r="R333" s="60"/>
      <c r="S333" s="60"/>
      <c r="T333" s="60"/>
      <c r="U333" s="60"/>
    </row>
    <row r="334" spans="2:21">
      <c r="D334" s="57" t="s">
        <v>1070</v>
      </c>
      <c r="J334" s="342"/>
      <c r="M334" s="279"/>
      <c r="N334" s="279"/>
      <c r="O334" s="60"/>
      <c r="P334" s="60"/>
      <c r="Q334" s="60"/>
      <c r="R334" s="60"/>
      <c r="S334" s="60"/>
      <c r="T334" s="60"/>
      <c r="U334" s="60"/>
    </row>
    <row r="335" spans="2:21">
      <c r="D335" s="57" t="s">
        <v>988</v>
      </c>
      <c r="J335" s="342"/>
      <c r="M335" s="279"/>
      <c r="N335" s="279"/>
      <c r="O335" s="60"/>
      <c r="P335" s="60"/>
      <c r="Q335" s="60"/>
      <c r="R335" s="60"/>
      <c r="S335" s="60"/>
      <c r="T335" s="60"/>
      <c r="U335" s="60"/>
    </row>
    <row r="336" spans="2:21" ht="45" customHeight="1">
      <c r="D336" s="1984" t="s">
        <v>609</v>
      </c>
      <c r="E336" s="1984"/>
      <c r="F336" s="1984"/>
      <c r="G336" s="1984"/>
      <c r="H336" s="1984"/>
      <c r="I336" s="1984"/>
      <c r="J336" s="1984"/>
      <c r="M336" s="279"/>
      <c r="N336" s="279"/>
      <c r="O336" s="60"/>
      <c r="P336" s="60"/>
      <c r="Q336" s="60"/>
      <c r="R336" s="60"/>
      <c r="S336" s="60"/>
      <c r="T336" s="60"/>
      <c r="U336" s="60"/>
    </row>
    <row r="337" spans="2:21">
      <c r="D337" s="57"/>
      <c r="J337" s="342"/>
      <c r="M337" s="279"/>
      <c r="N337" s="279"/>
      <c r="O337" s="60"/>
      <c r="P337" s="60"/>
      <c r="Q337" s="60"/>
      <c r="R337" s="60"/>
      <c r="S337" s="60"/>
      <c r="T337" s="60"/>
      <c r="U337" s="60"/>
    </row>
    <row r="338" spans="2:21">
      <c r="B338" s="64" t="s">
        <v>655</v>
      </c>
      <c r="C338" s="65"/>
      <c r="D338" s="48" t="s">
        <v>743</v>
      </c>
      <c r="M338" s="279"/>
      <c r="N338" s="279"/>
      <c r="O338" s="60"/>
      <c r="P338" s="60"/>
      <c r="Q338" s="60"/>
      <c r="R338" s="60"/>
      <c r="S338" s="60"/>
      <c r="T338" s="60"/>
      <c r="U338" s="60"/>
    </row>
    <row r="339" spans="2:21">
      <c r="B339" s="64"/>
      <c r="C339" s="65"/>
      <c r="M339" s="279"/>
      <c r="N339" s="279"/>
      <c r="O339" s="60"/>
      <c r="P339" s="60"/>
      <c r="Q339" s="60"/>
      <c r="R339" s="60"/>
      <c r="S339" s="60"/>
      <c r="T339" s="60"/>
      <c r="U339" s="60"/>
    </row>
    <row r="340" spans="2:21" ht="33.75" customHeight="1">
      <c r="B340" s="416" t="s">
        <v>744</v>
      </c>
      <c r="C340" s="417"/>
      <c r="D340" s="1974" t="s">
        <v>774</v>
      </c>
      <c r="E340" s="1974"/>
      <c r="F340" s="1974"/>
      <c r="G340" s="1974"/>
      <c r="H340" s="1974"/>
      <c r="I340" s="1974"/>
      <c r="J340" s="1974"/>
      <c r="M340" s="279"/>
      <c r="N340" s="279"/>
      <c r="O340" s="60"/>
      <c r="P340" s="60"/>
      <c r="Q340" s="60"/>
      <c r="R340" s="60"/>
      <c r="S340" s="60"/>
      <c r="T340" s="60"/>
      <c r="U340" s="60"/>
    </row>
    <row r="341" spans="2:21" ht="52.5" customHeight="1">
      <c r="B341" s="416" t="s">
        <v>922</v>
      </c>
      <c r="C341" s="417"/>
      <c r="D341" s="1974" t="s">
        <v>923</v>
      </c>
      <c r="E341" s="1974"/>
      <c r="F341" s="1974"/>
      <c r="G341" s="1974"/>
      <c r="H341" s="1974"/>
      <c r="I341" s="1974"/>
      <c r="J341" s="1974"/>
      <c r="M341" s="279"/>
      <c r="N341" s="279"/>
      <c r="O341" s="60"/>
      <c r="P341" s="60"/>
      <c r="Q341" s="60"/>
      <c r="R341" s="60"/>
      <c r="S341" s="60"/>
      <c r="T341" s="60"/>
      <c r="U341" s="60"/>
    </row>
    <row r="342" spans="2:21" ht="51" customHeight="1">
      <c r="B342" s="416"/>
      <c r="C342" s="417"/>
      <c r="D342" s="1974"/>
      <c r="E342" s="1974"/>
      <c r="F342" s="1974"/>
      <c r="G342" s="1974"/>
      <c r="H342" s="1974"/>
      <c r="I342" s="1974"/>
      <c r="J342" s="1974"/>
      <c r="M342" s="279"/>
      <c r="N342" s="279"/>
      <c r="O342" s="60"/>
      <c r="P342" s="60"/>
      <c r="Q342" s="60"/>
      <c r="R342" s="60"/>
      <c r="S342" s="60"/>
      <c r="T342" s="60"/>
      <c r="U342" s="60"/>
    </row>
    <row r="343" spans="2:21">
      <c r="B343" s="279"/>
      <c r="C343" s="279"/>
      <c r="D343" s="279"/>
      <c r="E343" s="279"/>
      <c r="F343" s="279"/>
      <c r="G343" s="279"/>
      <c r="H343" s="279"/>
      <c r="M343" s="279"/>
      <c r="N343" s="279"/>
      <c r="O343" s="60"/>
      <c r="P343" s="60"/>
      <c r="Q343" s="60"/>
      <c r="R343" s="60"/>
      <c r="S343" s="60"/>
      <c r="T343" s="60"/>
      <c r="U343" s="60"/>
    </row>
    <row r="344" spans="2:21">
      <c r="B344" s="279"/>
      <c r="C344" s="279"/>
      <c r="D344" s="279"/>
      <c r="E344" s="279"/>
      <c r="F344" s="279"/>
      <c r="G344" s="279"/>
      <c r="H344" s="279"/>
      <c r="M344" s="279"/>
      <c r="N344" s="279"/>
      <c r="O344" s="60"/>
      <c r="P344" s="60"/>
      <c r="Q344" s="60"/>
      <c r="R344" s="60"/>
      <c r="S344" s="60"/>
      <c r="T344" s="60"/>
      <c r="U344" s="60"/>
    </row>
    <row r="345" spans="2:21">
      <c r="B345" s="279"/>
      <c r="C345" s="279"/>
      <c r="D345" s="279"/>
      <c r="E345" s="279"/>
      <c r="F345" s="279"/>
      <c r="G345" s="279"/>
      <c r="H345" s="279"/>
      <c r="M345" s="279"/>
      <c r="N345" s="279"/>
      <c r="O345" s="60"/>
      <c r="P345" s="60"/>
      <c r="Q345" s="60"/>
      <c r="R345" s="60"/>
      <c r="S345" s="60"/>
      <c r="T345" s="60"/>
      <c r="U345" s="60"/>
    </row>
    <row r="346" spans="2:21">
      <c r="B346" s="279"/>
      <c r="C346" s="279"/>
      <c r="D346" s="279"/>
      <c r="E346" s="279"/>
      <c r="F346" s="279"/>
      <c r="G346" s="279"/>
      <c r="H346" s="279"/>
      <c r="M346" s="279"/>
      <c r="N346" s="279"/>
      <c r="O346" s="60"/>
      <c r="P346" s="60"/>
      <c r="Q346" s="60"/>
      <c r="R346" s="60"/>
      <c r="S346" s="60"/>
      <c r="T346" s="60"/>
      <c r="U346" s="60"/>
    </row>
    <row r="347" spans="2:21">
      <c r="B347" s="279"/>
      <c r="C347" s="279"/>
      <c r="D347" s="279"/>
      <c r="E347" s="279"/>
      <c r="F347" s="279"/>
      <c r="G347" s="279"/>
      <c r="H347" s="279"/>
      <c r="M347" s="279"/>
      <c r="N347" s="279"/>
      <c r="O347" s="60"/>
      <c r="P347" s="60"/>
      <c r="Q347" s="60"/>
      <c r="R347" s="60"/>
      <c r="S347" s="60"/>
      <c r="T347" s="60"/>
      <c r="U347" s="60"/>
    </row>
    <row r="348" spans="2:21">
      <c r="B348" s="279"/>
      <c r="C348" s="279"/>
      <c r="D348" s="279"/>
      <c r="E348" s="279"/>
      <c r="F348" s="279"/>
      <c r="G348" s="279"/>
      <c r="H348" s="279"/>
      <c r="M348" s="279"/>
      <c r="N348" s="279"/>
      <c r="O348" s="60"/>
      <c r="P348" s="60"/>
      <c r="Q348" s="60"/>
      <c r="R348" s="60"/>
      <c r="S348" s="60"/>
      <c r="T348" s="60"/>
      <c r="U348" s="60"/>
    </row>
    <row r="349" spans="2:21">
      <c r="B349" s="279"/>
      <c r="C349" s="279"/>
      <c r="D349" s="279"/>
      <c r="E349" s="279"/>
      <c r="F349" s="279"/>
      <c r="G349" s="279"/>
      <c r="H349" s="279"/>
      <c r="M349" s="279"/>
      <c r="N349" s="279"/>
      <c r="O349" s="60"/>
      <c r="P349" s="60"/>
      <c r="Q349" s="60"/>
      <c r="R349" s="60"/>
      <c r="S349" s="60"/>
      <c r="T349" s="60"/>
      <c r="U349" s="60"/>
    </row>
    <row r="350" spans="2:21">
      <c r="B350" s="279"/>
      <c r="C350" s="279"/>
      <c r="D350" s="279"/>
      <c r="E350" s="279"/>
      <c r="F350" s="279"/>
      <c r="G350" s="279"/>
      <c r="H350" s="279"/>
      <c r="M350" s="279"/>
      <c r="N350" s="279"/>
      <c r="O350" s="60"/>
      <c r="P350" s="60"/>
      <c r="Q350" s="60"/>
      <c r="R350" s="60"/>
      <c r="S350" s="60"/>
      <c r="T350" s="60"/>
      <c r="U350" s="60"/>
    </row>
    <row r="351" spans="2:21">
      <c r="B351" s="64"/>
      <c r="C351" s="65"/>
      <c r="M351" s="279"/>
      <c r="N351" s="279"/>
      <c r="O351" s="60"/>
      <c r="P351" s="60"/>
      <c r="Q351" s="60"/>
      <c r="R351" s="60"/>
      <c r="S351" s="60"/>
      <c r="T351" s="60"/>
      <c r="U351" s="60"/>
    </row>
    <row r="352" spans="2:21">
      <c r="B352" s="53"/>
      <c r="M352" s="279"/>
      <c r="N352" s="279"/>
      <c r="O352" s="60"/>
      <c r="P352" s="60"/>
      <c r="Q352" s="60"/>
      <c r="R352" s="60"/>
      <c r="S352" s="60"/>
      <c r="T352" s="60"/>
      <c r="U352" s="60"/>
    </row>
    <row r="353" spans="2:21">
      <c r="B353" s="53"/>
      <c r="M353" s="279"/>
      <c r="N353" s="279"/>
      <c r="O353" s="60"/>
      <c r="P353" s="60"/>
      <c r="Q353" s="60"/>
      <c r="R353" s="60"/>
      <c r="S353" s="60"/>
      <c r="T353" s="60"/>
      <c r="U353" s="60"/>
    </row>
    <row r="354" spans="2:21">
      <c r="B354" s="53"/>
      <c r="M354" s="279"/>
      <c r="N354" s="279"/>
      <c r="O354" s="60"/>
      <c r="P354" s="60"/>
      <c r="Q354" s="60"/>
      <c r="R354" s="60"/>
      <c r="S354" s="60"/>
      <c r="T354" s="60"/>
      <c r="U354" s="60"/>
    </row>
    <row r="355" spans="2:21">
      <c r="B355" s="53"/>
      <c r="H355" s="60"/>
      <c r="I355" s="60"/>
      <c r="J355" s="60"/>
      <c r="K355" s="60"/>
      <c r="L355" s="60"/>
      <c r="M355" s="279"/>
      <c r="N355" s="279"/>
      <c r="O355" s="60"/>
      <c r="P355" s="60"/>
      <c r="Q355" s="60"/>
      <c r="R355" s="60"/>
      <c r="S355" s="60"/>
      <c r="T355" s="60"/>
      <c r="U355" s="60"/>
    </row>
    <row r="356" spans="2:21">
      <c r="B356" s="53"/>
      <c r="H356" s="60"/>
      <c r="K356" s="60"/>
      <c r="L356" s="60"/>
      <c r="M356" s="279"/>
      <c r="N356" s="279"/>
      <c r="O356" s="60"/>
      <c r="P356" s="60"/>
      <c r="Q356" s="60"/>
      <c r="R356" s="60"/>
      <c r="S356" s="60"/>
      <c r="T356" s="60"/>
      <c r="U356" s="60"/>
    </row>
    <row r="357" spans="2:21">
      <c r="B357" s="53"/>
      <c r="H357" s="60"/>
      <c r="I357" s="60"/>
      <c r="J357" s="418"/>
      <c r="K357" s="60"/>
      <c r="L357" s="60"/>
      <c r="M357" s="279"/>
      <c r="N357" s="279"/>
      <c r="O357" s="60"/>
      <c r="P357" s="60"/>
      <c r="Q357" s="60"/>
      <c r="R357" s="60"/>
      <c r="S357" s="60"/>
      <c r="T357" s="60"/>
      <c r="U357" s="60"/>
    </row>
    <row r="358" spans="2:21">
      <c r="B358" s="53"/>
      <c r="H358" s="60"/>
      <c r="I358" s="65"/>
      <c r="J358" s="418"/>
      <c r="K358" s="60"/>
      <c r="L358" s="60"/>
      <c r="M358" s="279"/>
      <c r="N358" s="279"/>
      <c r="O358" s="60"/>
      <c r="P358" s="60"/>
      <c r="Q358" s="60"/>
      <c r="R358" s="60"/>
      <c r="S358" s="60"/>
      <c r="T358" s="60"/>
      <c r="U358" s="60"/>
    </row>
    <row r="359" spans="2:21">
      <c r="B359" s="53"/>
      <c r="H359" s="60"/>
      <c r="I359" s="65"/>
      <c r="J359" s="418"/>
      <c r="K359" s="60"/>
      <c r="L359" s="60"/>
      <c r="M359" s="279"/>
      <c r="N359" s="279"/>
      <c r="O359" s="60"/>
      <c r="P359" s="60"/>
      <c r="Q359" s="60"/>
      <c r="R359" s="60"/>
      <c r="S359" s="60"/>
      <c r="T359" s="60"/>
      <c r="U359" s="60"/>
    </row>
    <row r="360" spans="2:21">
      <c r="B360" s="53"/>
      <c r="H360" s="60"/>
      <c r="I360" s="65"/>
      <c r="J360" s="418"/>
      <c r="K360" s="60"/>
      <c r="L360" s="60"/>
      <c r="M360" s="279"/>
      <c r="N360" s="279"/>
      <c r="O360" s="60"/>
      <c r="P360" s="60"/>
      <c r="Q360" s="60"/>
      <c r="R360" s="60"/>
      <c r="S360" s="60"/>
      <c r="T360" s="60"/>
      <c r="U360" s="60"/>
    </row>
    <row r="361" spans="2:21">
      <c r="B361" s="107"/>
      <c r="C361" s="60"/>
      <c r="D361" s="60"/>
      <c r="E361" s="60"/>
      <c r="F361" s="60"/>
      <c r="G361" s="60"/>
      <c r="H361" s="60"/>
      <c r="I361" s="65"/>
      <c r="J361" s="419"/>
      <c r="K361" s="60"/>
      <c r="L361" s="60"/>
      <c r="M361" s="279"/>
      <c r="N361" s="279"/>
      <c r="O361" s="60"/>
      <c r="P361" s="60"/>
      <c r="Q361" s="60"/>
      <c r="R361" s="60"/>
      <c r="S361" s="60"/>
      <c r="T361" s="60"/>
      <c r="U361" s="60"/>
    </row>
    <row r="362" spans="2:21">
      <c r="B362" s="107"/>
      <c r="C362" s="60"/>
      <c r="D362" s="60"/>
      <c r="E362" s="60"/>
      <c r="F362" s="60"/>
      <c r="G362" s="60"/>
      <c r="H362" s="60"/>
      <c r="I362" s="65"/>
      <c r="J362" s="418"/>
      <c r="K362" s="60"/>
      <c r="L362" s="60"/>
      <c r="M362" s="279"/>
      <c r="N362" s="279"/>
      <c r="O362" s="60"/>
      <c r="P362" s="60"/>
      <c r="Q362" s="60"/>
      <c r="R362" s="60"/>
      <c r="S362" s="60"/>
      <c r="T362" s="60"/>
      <c r="U362" s="60"/>
    </row>
    <row r="363" spans="2:21">
      <c r="B363" s="107"/>
      <c r="C363" s="60"/>
      <c r="D363" s="60"/>
      <c r="E363" s="60"/>
      <c r="F363" s="60"/>
      <c r="G363" s="60"/>
      <c r="H363" s="60"/>
      <c r="I363" s="65"/>
      <c r="J363" s="418"/>
      <c r="K363" s="60"/>
      <c r="L363" s="60"/>
      <c r="M363" s="279"/>
      <c r="N363" s="279"/>
      <c r="O363" s="60"/>
      <c r="P363" s="60"/>
      <c r="Q363" s="60"/>
      <c r="R363" s="60"/>
      <c r="S363" s="60"/>
      <c r="T363" s="60"/>
      <c r="U363" s="60"/>
    </row>
    <row r="364" spans="2:21">
      <c r="I364" s="65"/>
      <c r="J364" s="418"/>
      <c r="M364" s="279"/>
      <c r="N364" s="279"/>
    </row>
    <row r="365" spans="2:21">
      <c r="I365" s="65"/>
      <c r="J365" s="418"/>
      <c r="M365" s="279"/>
      <c r="N365" s="279"/>
    </row>
    <row r="366" spans="2:21">
      <c r="M366" s="279"/>
      <c r="N366" s="279"/>
    </row>
    <row r="367" spans="2:21">
      <c r="M367" s="279"/>
      <c r="N367" s="279"/>
    </row>
    <row r="368" spans="2:21">
      <c r="M368" s="279"/>
      <c r="N368" s="279"/>
    </row>
    <row r="369" spans="13:14">
      <c r="M369" s="279"/>
      <c r="N369" s="279"/>
    </row>
    <row r="370" spans="13:14">
      <c r="M370" s="279"/>
      <c r="N370" s="279"/>
    </row>
    <row r="371" spans="13:14">
      <c r="M371" s="279"/>
      <c r="N371" s="279"/>
    </row>
    <row r="372" spans="13:14">
      <c r="M372" s="279"/>
      <c r="N372" s="279"/>
    </row>
    <row r="373" spans="13:14">
      <c r="M373" s="279"/>
      <c r="N373" s="279"/>
    </row>
    <row r="374" spans="13:14">
      <c r="M374" s="279"/>
      <c r="N374" s="279"/>
    </row>
    <row r="375" spans="13:14">
      <c r="M375" s="279"/>
      <c r="N375" s="279"/>
    </row>
    <row r="376" spans="13:14">
      <c r="M376" s="279"/>
      <c r="N376" s="279"/>
    </row>
    <row r="377" spans="13:14">
      <c r="M377" s="279"/>
      <c r="N377" s="279"/>
    </row>
    <row r="378" spans="13:14">
      <c r="M378" s="279"/>
      <c r="N378" s="279"/>
    </row>
    <row r="379" spans="13:14">
      <c r="M379" s="279"/>
      <c r="N379" s="279"/>
    </row>
    <row r="380" spans="13:14">
      <c r="M380" s="279"/>
      <c r="N380" s="279"/>
    </row>
    <row r="381" spans="13:14">
      <c r="M381" s="279"/>
      <c r="N381" s="279"/>
    </row>
    <row r="382" spans="13:14">
      <c r="M382" s="279"/>
      <c r="N382" s="279"/>
    </row>
    <row r="383" spans="13:14">
      <c r="M383" s="279"/>
      <c r="N383" s="279"/>
    </row>
    <row r="384" spans="13:14">
      <c r="M384" s="279"/>
      <c r="N384" s="279"/>
    </row>
    <row r="385" spans="13:14">
      <c r="M385" s="279"/>
      <c r="N385" s="279"/>
    </row>
    <row r="386" spans="13:14">
      <c r="M386" s="279"/>
      <c r="N386" s="279"/>
    </row>
    <row r="387" spans="13:14">
      <c r="M387" s="279"/>
      <c r="N387" s="279"/>
    </row>
    <row r="388" spans="13:14">
      <c r="M388" s="279"/>
      <c r="N388" s="279"/>
    </row>
    <row r="389" spans="13:14">
      <c r="M389" s="279"/>
      <c r="N389" s="279"/>
    </row>
    <row r="390" spans="13:14">
      <c r="M390" s="279"/>
      <c r="N390" s="279"/>
    </row>
    <row r="391" spans="13:14">
      <c r="M391" s="279"/>
      <c r="N391" s="279"/>
    </row>
    <row r="392" spans="13:14">
      <c r="M392" s="279"/>
      <c r="N392" s="279"/>
    </row>
    <row r="393" spans="13:14">
      <c r="M393" s="279"/>
      <c r="N393" s="279"/>
    </row>
    <row r="394" spans="13:14">
      <c r="M394" s="279"/>
      <c r="N394" s="279"/>
    </row>
    <row r="395" spans="13:14">
      <c r="M395" s="279"/>
      <c r="N395" s="279"/>
    </row>
    <row r="396" spans="13:14">
      <c r="M396" s="279"/>
      <c r="N396" s="279"/>
    </row>
    <row r="397" spans="13:14">
      <c r="M397" s="279"/>
      <c r="N397" s="279"/>
    </row>
    <row r="398" spans="13:14">
      <c r="M398" s="279"/>
      <c r="N398" s="279"/>
    </row>
    <row r="399" spans="13:14">
      <c r="M399" s="279"/>
      <c r="N399" s="279"/>
    </row>
    <row r="400" spans="13:14">
      <c r="M400" s="279"/>
      <c r="N400" s="279"/>
    </row>
    <row r="401" spans="13:14">
      <c r="M401" s="279"/>
      <c r="N401" s="279"/>
    </row>
    <row r="402" spans="13:14">
      <c r="M402" s="279"/>
      <c r="N402" s="279"/>
    </row>
    <row r="403" spans="13:14">
      <c r="M403" s="279"/>
      <c r="N403" s="279"/>
    </row>
    <row r="404" spans="13:14">
      <c r="M404" s="279"/>
      <c r="N404" s="279"/>
    </row>
    <row r="405" spans="13:14">
      <c r="M405" s="279"/>
      <c r="N405" s="279"/>
    </row>
    <row r="406" spans="13:14">
      <c r="M406" s="279"/>
      <c r="N406" s="279"/>
    </row>
    <row r="407" spans="13:14">
      <c r="M407" s="279"/>
      <c r="N407" s="279"/>
    </row>
    <row r="408" spans="13:14">
      <c r="M408" s="279"/>
      <c r="N408" s="279"/>
    </row>
    <row r="409" spans="13:14">
      <c r="M409" s="279"/>
      <c r="N409" s="279"/>
    </row>
    <row r="410" spans="13:14">
      <c r="M410" s="279"/>
      <c r="N410" s="279"/>
    </row>
    <row r="411" spans="13:14">
      <c r="M411" s="279"/>
      <c r="N411" s="279"/>
    </row>
    <row r="412" spans="13:14">
      <c r="M412" s="279"/>
      <c r="N412" s="279"/>
    </row>
    <row r="413" spans="13:14">
      <c r="M413" s="279"/>
      <c r="N413" s="279"/>
    </row>
    <row r="414" spans="13:14">
      <c r="M414" s="279"/>
      <c r="N414" s="279"/>
    </row>
    <row r="415" spans="13:14">
      <c r="M415" s="279"/>
      <c r="N415" s="279"/>
    </row>
    <row r="416" spans="13:14">
      <c r="M416" s="279"/>
      <c r="N416" s="279"/>
    </row>
    <row r="417" spans="13:14">
      <c r="M417" s="279"/>
      <c r="N417" s="279"/>
    </row>
    <row r="418" spans="13:14">
      <c r="M418" s="279"/>
      <c r="N418" s="279"/>
    </row>
    <row r="419" spans="13:14">
      <c r="M419" s="279"/>
      <c r="N419" s="279"/>
    </row>
    <row r="420" spans="13:14">
      <c r="M420" s="279"/>
      <c r="N420" s="279"/>
    </row>
    <row r="421" spans="13:14">
      <c r="M421" s="279"/>
      <c r="N421" s="279"/>
    </row>
    <row r="422" spans="13:14">
      <c r="M422" s="279"/>
      <c r="N422" s="279"/>
    </row>
    <row r="423" spans="13:14">
      <c r="M423" s="279"/>
      <c r="N423" s="279"/>
    </row>
    <row r="424" spans="13:14">
      <c r="M424" s="279"/>
      <c r="N424" s="279"/>
    </row>
    <row r="425" spans="13:14">
      <c r="M425" s="279"/>
      <c r="N425" s="279"/>
    </row>
    <row r="426" spans="13:14">
      <c r="M426" s="279"/>
      <c r="N426" s="279"/>
    </row>
    <row r="427" spans="13:14">
      <c r="M427" s="279"/>
      <c r="N427" s="279"/>
    </row>
    <row r="428" spans="13:14">
      <c r="M428" s="279"/>
      <c r="N428" s="279"/>
    </row>
    <row r="429" spans="13:14">
      <c r="M429" s="279"/>
      <c r="N429" s="279"/>
    </row>
    <row r="430" spans="13:14">
      <c r="M430" s="279"/>
      <c r="N430" s="279"/>
    </row>
    <row r="431" spans="13:14">
      <c r="M431" s="279"/>
      <c r="N431" s="279"/>
    </row>
    <row r="432" spans="13:14">
      <c r="M432" s="279"/>
      <c r="N432" s="279"/>
    </row>
    <row r="433" spans="13:14">
      <c r="M433" s="279"/>
      <c r="N433" s="279"/>
    </row>
    <row r="434" spans="13:14">
      <c r="M434" s="279"/>
      <c r="N434" s="279"/>
    </row>
    <row r="435" spans="13:14">
      <c r="M435" s="279"/>
      <c r="N435" s="279"/>
    </row>
    <row r="436" spans="13:14">
      <c r="M436" s="279"/>
      <c r="N436" s="279"/>
    </row>
    <row r="437" spans="13:14">
      <c r="M437" s="279"/>
      <c r="N437" s="279"/>
    </row>
    <row r="438" spans="13:14">
      <c r="M438" s="279"/>
      <c r="N438" s="279"/>
    </row>
    <row r="439" spans="13:14">
      <c r="M439" s="279"/>
      <c r="N439" s="279"/>
    </row>
    <row r="440" spans="13:14">
      <c r="M440" s="279"/>
      <c r="N440" s="279"/>
    </row>
    <row r="441" spans="13:14">
      <c r="M441" s="279"/>
      <c r="N441" s="279"/>
    </row>
    <row r="442" spans="13:14">
      <c r="M442" s="279"/>
      <c r="N442" s="279"/>
    </row>
    <row r="443" spans="13:14">
      <c r="M443" s="279"/>
      <c r="N443" s="279"/>
    </row>
    <row r="444" spans="13:14">
      <c r="M444" s="279"/>
      <c r="N444" s="279"/>
    </row>
    <row r="445" spans="13:14">
      <c r="M445" s="279"/>
      <c r="N445" s="279"/>
    </row>
    <row r="446" spans="13:14">
      <c r="M446" s="279"/>
      <c r="N446" s="279"/>
    </row>
    <row r="447" spans="13:14">
      <c r="M447" s="279"/>
      <c r="N447" s="279"/>
    </row>
    <row r="448" spans="13:14">
      <c r="M448" s="279"/>
      <c r="N448" s="279"/>
    </row>
    <row r="449" spans="13:14">
      <c r="M449" s="279"/>
      <c r="N449" s="279"/>
    </row>
    <row r="450" spans="13:14">
      <c r="M450" s="279"/>
      <c r="N450" s="279"/>
    </row>
    <row r="451" spans="13:14">
      <c r="M451" s="279"/>
      <c r="N451" s="279"/>
    </row>
    <row r="452" spans="13:14">
      <c r="M452" s="279"/>
      <c r="N452" s="279"/>
    </row>
    <row r="453" spans="13:14">
      <c r="M453" s="279"/>
      <c r="N453" s="279"/>
    </row>
    <row r="454" spans="13:14">
      <c r="M454" s="279"/>
      <c r="N454" s="279"/>
    </row>
    <row r="455" spans="13:14">
      <c r="M455" s="279"/>
      <c r="N455" s="279"/>
    </row>
    <row r="456" spans="13:14">
      <c r="M456" s="279"/>
      <c r="N456" s="279"/>
    </row>
    <row r="457" spans="13:14">
      <c r="M457" s="279"/>
      <c r="N457" s="279"/>
    </row>
    <row r="458" spans="13:14">
      <c r="M458" s="279"/>
      <c r="N458" s="279"/>
    </row>
    <row r="459" spans="13:14">
      <c r="M459" s="279"/>
      <c r="N459" s="279"/>
    </row>
    <row r="460" spans="13:14">
      <c r="M460" s="279"/>
      <c r="N460" s="279"/>
    </row>
    <row r="461" spans="13:14">
      <c r="M461" s="279"/>
      <c r="N461" s="279"/>
    </row>
    <row r="462" spans="13:14">
      <c r="M462" s="279"/>
      <c r="N462" s="279"/>
    </row>
    <row r="463" spans="13:14">
      <c r="M463" s="279"/>
      <c r="N463" s="279"/>
    </row>
    <row r="464" spans="13:14">
      <c r="M464" s="279"/>
      <c r="N464" s="279"/>
    </row>
    <row r="465" spans="13:14">
      <c r="M465" s="279"/>
      <c r="N465" s="279"/>
    </row>
    <row r="466" spans="13:14">
      <c r="M466" s="279"/>
      <c r="N466" s="279"/>
    </row>
    <row r="467" spans="13:14">
      <c r="M467" s="279"/>
      <c r="N467" s="279"/>
    </row>
    <row r="468" spans="13:14">
      <c r="M468" s="279"/>
      <c r="N468" s="279"/>
    </row>
    <row r="469" spans="13:14">
      <c r="M469" s="279"/>
      <c r="N469" s="279"/>
    </row>
    <row r="470" spans="13:14">
      <c r="M470" s="279"/>
      <c r="N470" s="279"/>
    </row>
    <row r="471" spans="13:14">
      <c r="M471" s="279"/>
      <c r="N471" s="279"/>
    </row>
    <row r="472" spans="13:14">
      <c r="M472" s="279"/>
      <c r="N472" s="279"/>
    </row>
    <row r="473" spans="13:14">
      <c r="M473" s="279"/>
      <c r="N473" s="279"/>
    </row>
    <row r="474" spans="13:14">
      <c r="M474" s="279"/>
      <c r="N474" s="279"/>
    </row>
    <row r="475" spans="13:14">
      <c r="M475" s="279"/>
      <c r="N475" s="279"/>
    </row>
    <row r="476" spans="13:14">
      <c r="M476" s="279"/>
      <c r="N476" s="279"/>
    </row>
    <row r="477" spans="13:14">
      <c r="M477" s="279"/>
      <c r="N477" s="279"/>
    </row>
    <row r="478" spans="13:14">
      <c r="M478" s="279"/>
      <c r="N478" s="279"/>
    </row>
    <row r="479" spans="13:14">
      <c r="M479" s="279"/>
      <c r="N479" s="279"/>
    </row>
    <row r="480" spans="13:14">
      <c r="M480" s="279"/>
      <c r="N480" s="279"/>
    </row>
    <row r="481" spans="13:14">
      <c r="M481" s="279"/>
      <c r="N481" s="279"/>
    </row>
    <row r="482" spans="13:14">
      <c r="M482" s="279"/>
      <c r="N482" s="279"/>
    </row>
    <row r="483" spans="13:14">
      <c r="M483" s="279"/>
      <c r="N483" s="279"/>
    </row>
    <row r="484" spans="13:14">
      <c r="M484" s="279"/>
      <c r="N484" s="279"/>
    </row>
    <row r="485" spans="13:14">
      <c r="M485" s="279"/>
      <c r="N485" s="279"/>
    </row>
    <row r="486" spans="13:14">
      <c r="M486" s="279"/>
      <c r="N486" s="279"/>
    </row>
    <row r="487" spans="13:14">
      <c r="M487" s="279"/>
      <c r="N487" s="279"/>
    </row>
    <row r="488" spans="13:14">
      <c r="M488" s="279"/>
      <c r="N488" s="279"/>
    </row>
    <row r="489" spans="13:14">
      <c r="M489" s="279"/>
      <c r="N489" s="279"/>
    </row>
    <row r="490" spans="13:14">
      <c r="M490" s="279"/>
      <c r="N490" s="279"/>
    </row>
    <row r="491" spans="13:14">
      <c r="M491" s="279"/>
      <c r="N491" s="279"/>
    </row>
    <row r="492" spans="13:14">
      <c r="M492" s="279"/>
      <c r="N492" s="279"/>
    </row>
    <row r="493" spans="13:14">
      <c r="M493" s="279"/>
      <c r="N493" s="279"/>
    </row>
    <row r="494" spans="13:14">
      <c r="M494" s="279"/>
      <c r="N494" s="279"/>
    </row>
    <row r="495" spans="13:14">
      <c r="M495" s="279"/>
      <c r="N495" s="279"/>
    </row>
    <row r="496" spans="13:14">
      <c r="M496" s="279"/>
      <c r="N496" s="279"/>
    </row>
    <row r="497" spans="13:14">
      <c r="M497" s="279"/>
      <c r="N497" s="279"/>
    </row>
    <row r="498" spans="13:14">
      <c r="M498" s="279"/>
      <c r="N498" s="279"/>
    </row>
    <row r="499" spans="13:14">
      <c r="M499" s="279"/>
      <c r="N499" s="279"/>
    </row>
    <row r="500" spans="13:14">
      <c r="M500" s="279"/>
      <c r="N500" s="279"/>
    </row>
    <row r="501" spans="13:14">
      <c r="M501" s="279"/>
      <c r="N501" s="279"/>
    </row>
    <row r="502" spans="13:14">
      <c r="M502" s="279"/>
      <c r="N502" s="279"/>
    </row>
    <row r="503" spans="13:14">
      <c r="M503" s="279"/>
      <c r="N503" s="279"/>
    </row>
    <row r="504" spans="13:14">
      <c r="M504" s="279"/>
      <c r="N504" s="279"/>
    </row>
    <row r="505" spans="13:14">
      <c r="M505" s="279"/>
      <c r="N505" s="279"/>
    </row>
    <row r="506" spans="13:14">
      <c r="M506" s="279"/>
      <c r="N506" s="279"/>
    </row>
    <row r="507" spans="13:14">
      <c r="M507" s="279"/>
      <c r="N507" s="279"/>
    </row>
    <row r="508" spans="13:14">
      <c r="M508" s="279"/>
      <c r="N508" s="279"/>
    </row>
    <row r="509" spans="13:14">
      <c r="M509" s="279"/>
      <c r="N509" s="279"/>
    </row>
    <row r="510" spans="13:14">
      <c r="M510" s="279"/>
      <c r="N510" s="279"/>
    </row>
    <row r="511" spans="13:14">
      <c r="M511" s="279"/>
      <c r="N511" s="279"/>
    </row>
    <row r="512" spans="13:14">
      <c r="M512" s="279"/>
      <c r="N512" s="279"/>
    </row>
    <row r="513" spans="13:14">
      <c r="M513" s="279"/>
      <c r="N513" s="279"/>
    </row>
    <row r="514" spans="13:14">
      <c r="M514" s="279"/>
      <c r="N514" s="279"/>
    </row>
    <row r="515" spans="13:14">
      <c r="M515" s="279"/>
      <c r="N515" s="279"/>
    </row>
    <row r="516" spans="13:14">
      <c r="M516" s="279"/>
      <c r="N516" s="279"/>
    </row>
    <row r="517" spans="13:14">
      <c r="M517" s="279"/>
      <c r="N517" s="279"/>
    </row>
    <row r="518" spans="13:14">
      <c r="M518" s="279"/>
      <c r="N518" s="279"/>
    </row>
    <row r="519" spans="13:14">
      <c r="M519" s="279"/>
      <c r="N519" s="279"/>
    </row>
    <row r="520" spans="13:14">
      <c r="M520" s="279"/>
      <c r="N520" s="279"/>
    </row>
    <row r="521" spans="13:14">
      <c r="M521" s="279"/>
      <c r="N521" s="279"/>
    </row>
  </sheetData>
  <mergeCells count="16">
    <mergeCell ref="D341:J341"/>
    <mergeCell ref="D342:J342"/>
    <mergeCell ref="D336:J336"/>
    <mergeCell ref="D340:J340"/>
    <mergeCell ref="D280:J281"/>
    <mergeCell ref="D296:J296"/>
    <mergeCell ref="D307:J307"/>
    <mergeCell ref="D309:J309"/>
    <mergeCell ref="D320:J320"/>
    <mergeCell ref="D326:J326"/>
    <mergeCell ref="I125:J125"/>
    <mergeCell ref="B20:I21"/>
    <mergeCell ref="D23:E24"/>
    <mergeCell ref="I48:J48"/>
    <mergeCell ref="I51:J51"/>
    <mergeCell ref="I122:J122"/>
  </mergeCells>
  <printOptions horizontalCentered="1"/>
  <pageMargins left="0.25" right="0.25" top="1" bottom="1" header="0.65" footer="0.25"/>
  <pageSetup scale="42" fitToHeight="0" orientation="portrait" horizontalDpi="1200" verticalDpi="1200" r:id="rId1"/>
  <headerFooter alignWithMargins="0">
    <oddHeader xml:space="preserve">&amp;R&amp;16AEP - SPP Transco Formula Rate
TCOS
Page: &amp;P of &amp;N
</oddHeader>
    <oddFooter xml:space="preserve">&amp;R &amp;C </oddFooter>
  </headerFooter>
  <rowBreaks count="4" manualBreakCount="4">
    <brk id="39" max="11" man="1"/>
    <brk id="114" max="11" man="1"/>
    <brk id="194" max="11" man="1"/>
    <brk id="257" max="11"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zoomScaleNormal="100" zoomScaleSheetLayoutView="70" zoomScalePageLayoutView="80" workbookViewId="0">
      <selection activeCell="C44" sqref="C44:G44"/>
    </sheetView>
  </sheetViews>
  <sheetFormatPr defaultColWidth="11.453125" defaultRowHeight="12.5"/>
  <cols>
    <col min="1" max="1" width="10.26953125" style="1467" customWidth="1"/>
    <col min="2" max="2" width="39.81640625" style="1439" customWidth="1"/>
    <col min="3" max="3" width="21.1796875" style="1439" customWidth="1"/>
    <col min="4" max="4" width="19.26953125" style="1439" customWidth="1"/>
    <col min="5" max="5" width="18.81640625" style="1439" customWidth="1"/>
    <col min="6" max="6" width="18" style="1439" customWidth="1"/>
    <col min="7" max="7" width="20.26953125" style="1439" customWidth="1"/>
    <col min="8" max="8" width="17.1796875" style="1439" customWidth="1"/>
    <col min="9" max="9" width="16" style="1439" customWidth="1"/>
    <col min="10" max="15" width="20.26953125" style="1439" customWidth="1"/>
    <col min="16" max="16" width="20" style="1439" customWidth="1"/>
    <col min="17" max="18" width="15.1796875" style="1439" customWidth="1"/>
    <col min="19" max="16384" width="11.453125" style="1439"/>
  </cols>
  <sheetData>
    <row r="1" spans="1:16" ht="15.5">
      <c r="A1" s="1438"/>
    </row>
    <row r="2" spans="1:16" ht="15.5">
      <c r="A2" s="2086" t="str">
        <f>'SWT TCOS'!F4</f>
        <v xml:space="preserve">AEP West SPP Member Transmission Companies </v>
      </c>
      <c r="B2" s="2086"/>
      <c r="C2" s="2086"/>
      <c r="D2" s="2086"/>
      <c r="E2" s="2086"/>
      <c r="F2" s="2086"/>
      <c r="G2" s="2086"/>
      <c r="H2" s="2086"/>
      <c r="I2" s="1440"/>
      <c r="J2" s="1440"/>
      <c r="K2" s="1440"/>
      <c r="L2" s="1441"/>
      <c r="M2" s="1441"/>
    </row>
    <row r="3" spans="1:16" ht="15.5">
      <c r="A3" s="2086" t="str">
        <f>"Actual / Projected "&amp;'SWT TCOS'!$N$2&amp;" Rate Year Cost of Service Formula Rate "</f>
        <v xml:space="preserve">Actual / Projected 2019 Rate Year Cost of Service Formula Rate </v>
      </c>
      <c r="B3" s="2086"/>
      <c r="C3" s="2086"/>
      <c r="D3" s="2086"/>
      <c r="E3" s="2086"/>
      <c r="F3" s="2086"/>
      <c r="G3" s="2086"/>
      <c r="H3" s="2086"/>
      <c r="I3" s="1440"/>
      <c r="J3" s="1440"/>
      <c r="K3" s="1440"/>
      <c r="L3" s="1441"/>
      <c r="M3" s="1441"/>
      <c r="N3" s="1441"/>
      <c r="P3" s="1442"/>
    </row>
    <row r="4" spans="1:16" ht="15.5">
      <c r="A4" s="2087" t="s">
        <v>738</v>
      </c>
      <c r="B4" s="2087"/>
      <c r="C4" s="2087"/>
      <c r="D4" s="2087"/>
      <c r="E4" s="2087"/>
      <c r="F4" s="2087"/>
      <c r="G4" s="2087"/>
      <c r="H4" s="2087"/>
      <c r="I4" s="1440"/>
      <c r="J4" s="1440"/>
      <c r="K4" s="1440"/>
      <c r="L4" s="1441"/>
      <c r="M4" s="1441"/>
      <c r="N4" s="1441"/>
    </row>
    <row r="5" spans="1:16" ht="15.5">
      <c r="A5" s="2088" t="str">
        <f>+'SWT TCOS'!$F$8</f>
        <v>AEP SOUTHWESTERN TRANSMISSION COMPANY</v>
      </c>
      <c r="B5" s="2088"/>
      <c r="C5" s="2088"/>
      <c r="D5" s="2088"/>
      <c r="E5" s="2088"/>
      <c r="F5" s="2088"/>
      <c r="G5" s="2088"/>
      <c r="H5" s="2088"/>
      <c r="I5" s="1443"/>
      <c r="J5" s="1443"/>
      <c r="K5" s="1443"/>
      <c r="L5" s="1441"/>
      <c r="M5" s="1441"/>
      <c r="N5" s="1441"/>
    </row>
    <row r="6" spans="1:16" ht="13">
      <c r="A6" s="1441"/>
      <c r="B6" s="1236"/>
      <c r="C6" s="1236"/>
      <c r="D6" s="1236"/>
      <c r="E6" s="1236"/>
      <c r="F6" s="1236"/>
      <c r="G6" s="1236"/>
      <c r="H6" s="1236"/>
      <c r="I6" s="1444"/>
      <c r="J6" s="1445"/>
      <c r="L6" s="1445"/>
      <c r="N6" s="1445"/>
      <c r="P6" s="1445"/>
    </row>
    <row r="7" spans="1:16" ht="12.75" customHeight="1">
      <c r="A7" s="1441"/>
      <c r="B7" s="1236"/>
      <c r="C7" s="2057" t="s">
        <v>731</v>
      </c>
      <c r="D7" s="2058"/>
      <c r="E7" s="2058"/>
      <c r="F7" s="2058"/>
      <c r="G7" s="2058"/>
      <c r="H7" s="2059"/>
      <c r="I7" s="132"/>
      <c r="J7" s="132"/>
      <c r="K7" s="132"/>
      <c r="L7" s="132"/>
      <c r="M7" s="132"/>
      <c r="N7" s="132"/>
      <c r="O7" s="132"/>
      <c r="P7" s="1446"/>
    </row>
    <row r="8" spans="1:16" s="1449" customFormat="1" ht="25.5">
      <c r="A8" s="1447" t="s">
        <v>706</v>
      </c>
      <c r="B8" s="1238" t="s">
        <v>689</v>
      </c>
      <c r="C8" s="1239" t="s">
        <v>707</v>
      </c>
      <c r="D8" s="1240" t="s">
        <v>708</v>
      </c>
      <c r="E8" s="1240" t="s">
        <v>254</v>
      </c>
      <c r="F8" s="1240" t="s">
        <v>709</v>
      </c>
      <c r="G8" s="1240" t="s">
        <v>710</v>
      </c>
      <c r="H8" s="1448" t="s">
        <v>711</v>
      </c>
      <c r="I8" s="132"/>
      <c r="J8" s="132"/>
      <c r="K8" s="132"/>
      <c r="L8" s="132"/>
      <c r="M8" s="132"/>
      <c r="N8" s="132"/>
      <c r="O8" s="132"/>
      <c r="P8" s="1446"/>
    </row>
    <row r="9" spans="1:16" s="1451" customFormat="1" ht="13">
      <c r="A9" s="1450"/>
      <c r="B9" s="1244" t="s">
        <v>715</v>
      </c>
      <c r="C9" s="1245" t="s">
        <v>716</v>
      </c>
      <c r="D9" s="1246" t="s">
        <v>717</v>
      </c>
      <c r="E9" s="1246" t="s">
        <v>718</v>
      </c>
      <c r="F9" s="1246" t="s">
        <v>719</v>
      </c>
      <c r="G9" s="1246" t="s">
        <v>720</v>
      </c>
      <c r="H9" s="1244" t="s">
        <v>721</v>
      </c>
      <c r="I9" s="132"/>
      <c r="J9" s="132"/>
      <c r="K9" s="132"/>
      <c r="L9" s="132"/>
      <c r="M9" s="132"/>
      <c r="N9" s="132"/>
      <c r="O9" s="132"/>
      <c r="P9" s="1446"/>
    </row>
    <row r="10" spans="1:16" s="1451" customFormat="1" ht="44.25" customHeight="1">
      <c r="A10" s="1450"/>
      <c r="B10" s="1244"/>
      <c r="C10" s="1452" t="s">
        <v>63</v>
      </c>
      <c r="D10" s="1453" t="s">
        <v>68</v>
      </c>
      <c r="E10" s="1453" t="s">
        <v>64</v>
      </c>
      <c r="F10" s="1453" t="s">
        <v>722</v>
      </c>
      <c r="G10" s="1453" t="s">
        <v>65</v>
      </c>
      <c r="H10" s="1454" t="s">
        <v>66</v>
      </c>
      <c r="I10" s="132"/>
      <c r="J10" s="132"/>
      <c r="K10" s="132"/>
      <c r="L10" s="132"/>
      <c r="M10" s="132"/>
      <c r="N10" s="132"/>
      <c r="O10" s="132"/>
      <c r="P10" s="1446"/>
    </row>
    <row r="11" spans="1:16">
      <c r="A11" s="1450">
        <v>1</v>
      </c>
      <c r="B11" s="1252" t="s">
        <v>725</v>
      </c>
      <c r="C11" s="445">
        <v>0</v>
      </c>
      <c r="D11" s="446">
        <v>0</v>
      </c>
      <c r="E11" s="446">
        <v>1.0000000000000001E-5</v>
      </c>
      <c r="F11" s="446">
        <v>0</v>
      </c>
      <c r="G11" s="446">
        <v>0</v>
      </c>
      <c r="H11" s="447">
        <v>0</v>
      </c>
      <c r="I11" s="132"/>
      <c r="J11" s="132"/>
      <c r="K11" s="132"/>
      <c r="L11" s="132"/>
      <c r="M11" s="132"/>
      <c r="N11" s="132"/>
      <c r="O11" s="132"/>
      <c r="P11" s="1446"/>
    </row>
    <row r="12" spans="1:16">
      <c r="A12" s="1450">
        <f>+A11+1</f>
        <v>2</v>
      </c>
      <c r="B12" s="1252" t="s">
        <v>321</v>
      </c>
      <c r="C12" s="445"/>
      <c r="D12" s="446"/>
      <c r="E12" s="446"/>
      <c r="F12" s="446"/>
      <c r="G12" s="446"/>
      <c r="H12" s="447"/>
      <c r="I12" s="132"/>
      <c r="J12" s="132"/>
      <c r="K12" s="132"/>
      <c r="L12" s="132"/>
      <c r="M12" s="132"/>
      <c r="N12" s="132"/>
      <c r="O12" s="132"/>
      <c r="P12" s="1446"/>
    </row>
    <row r="13" spans="1:16">
      <c r="A13" s="1450">
        <f t="shared" ref="A13:A24" si="0">+A12+1</f>
        <v>3</v>
      </c>
      <c r="B13" s="1254" t="s">
        <v>514</v>
      </c>
      <c r="C13" s="445"/>
      <c r="D13" s="446"/>
      <c r="E13" s="446"/>
      <c r="F13" s="446"/>
      <c r="G13" s="446"/>
      <c r="H13" s="447"/>
      <c r="I13" s="132"/>
      <c r="J13" s="132"/>
      <c r="K13" s="132"/>
      <c r="L13" s="132"/>
      <c r="M13" s="132"/>
      <c r="N13" s="132"/>
      <c r="O13" s="132"/>
      <c r="P13" s="1446"/>
    </row>
    <row r="14" spans="1:16">
      <c r="A14" s="1450">
        <f t="shared" si="0"/>
        <v>4</v>
      </c>
      <c r="B14" s="1254" t="s">
        <v>726</v>
      </c>
      <c r="C14" s="445"/>
      <c r="D14" s="446"/>
      <c r="E14" s="446"/>
      <c r="F14" s="446"/>
      <c r="G14" s="446"/>
      <c r="H14" s="447"/>
      <c r="I14" s="132"/>
      <c r="J14" s="132"/>
      <c r="K14" s="132"/>
      <c r="L14" s="132"/>
      <c r="M14" s="132"/>
      <c r="N14" s="132"/>
      <c r="O14" s="132"/>
      <c r="P14" s="1446"/>
    </row>
    <row r="15" spans="1:16">
      <c r="A15" s="1450">
        <f t="shared" si="0"/>
        <v>5</v>
      </c>
      <c r="B15" s="1254" t="s">
        <v>323</v>
      </c>
      <c r="C15" s="445"/>
      <c r="D15" s="446"/>
      <c r="E15" s="446"/>
      <c r="F15" s="446"/>
      <c r="G15" s="446"/>
      <c r="H15" s="447"/>
      <c r="I15" s="132"/>
      <c r="J15" s="132"/>
      <c r="K15" s="132"/>
      <c r="L15" s="132"/>
      <c r="M15" s="132"/>
      <c r="N15" s="132"/>
      <c r="O15" s="132"/>
      <c r="P15" s="1446"/>
    </row>
    <row r="16" spans="1:16">
      <c r="A16" s="1450">
        <f t="shared" si="0"/>
        <v>6</v>
      </c>
      <c r="B16" s="1254" t="s">
        <v>324</v>
      </c>
      <c r="C16" s="445"/>
      <c r="D16" s="446"/>
      <c r="E16" s="446"/>
      <c r="F16" s="446"/>
      <c r="G16" s="446"/>
      <c r="H16" s="447"/>
      <c r="I16" s="132"/>
      <c r="J16" s="132"/>
      <c r="K16" s="132"/>
      <c r="L16" s="132"/>
      <c r="M16" s="132"/>
      <c r="N16" s="132"/>
      <c r="O16" s="132"/>
      <c r="P16" s="1446"/>
    </row>
    <row r="17" spans="1:16">
      <c r="A17" s="1450">
        <f t="shared" si="0"/>
        <v>7</v>
      </c>
      <c r="B17" s="1254" t="s">
        <v>48</v>
      </c>
      <c r="C17" s="445"/>
      <c r="D17" s="446"/>
      <c r="E17" s="446"/>
      <c r="F17" s="446"/>
      <c r="G17" s="446"/>
      <c r="H17" s="447"/>
      <c r="I17" s="132"/>
      <c r="J17" s="132"/>
      <c r="K17" s="132"/>
      <c r="L17" s="132"/>
      <c r="M17" s="132"/>
      <c r="N17" s="132"/>
      <c r="O17" s="132"/>
      <c r="P17" s="1446"/>
    </row>
    <row r="18" spans="1:16">
      <c r="A18" s="1450">
        <f t="shared" si="0"/>
        <v>8</v>
      </c>
      <c r="B18" s="1254" t="s">
        <v>325</v>
      </c>
      <c r="C18" s="445"/>
      <c r="D18" s="446"/>
      <c r="E18" s="446"/>
      <c r="F18" s="446"/>
      <c r="G18" s="446"/>
      <c r="H18" s="447"/>
      <c r="I18" s="132"/>
      <c r="J18" s="132"/>
      <c r="K18" s="132"/>
      <c r="L18" s="132"/>
      <c r="M18" s="132"/>
      <c r="N18" s="132"/>
      <c r="O18" s="132"/>
      <c r="P18" s="1446"/>
    </row>
    <row r="19" spans="1:16">
      <c r="A19" s="1450">
        <f t="shared" si="0"/>
        <v>9</v>
      </c>
      <c r="B19" s="1254" t="s">
        <v>727</v>
      </c>
      <c r="C19" s="445"/>
      <c r="D19" s="446"/>
      <c r="E19" s="446"/>
      <c r="F19" s="446"/>
      <c r="G19" s="446"/>
      <c r="H19" s="447"/>
      <c r="I19" s="132"/>
      <c r="J19" s="132"/>
      <c r="K19" s="132"/>
      <c r="L19" s="132"/>
      <c r="M19" s="132"/>
      <c r="N19" s="132"/>
      <c r="O19" s="132"/>
      <c r="P19" s="1446"/>
    </row>
    <row r="20" spans="1:16">
      <c r="A20" s="1450">
        <f t="shared" si="0"/>
        <v>10</v>
      </c>
      <c r="B20" s="1254" t="s">
        <v>328</v>
      </c>
      <c r="C20" s="445"/>
      <c r="D20" s="446"/>
      <c r="E20" s="446"/>
      <c r="F20" s="446"/>
      <c r="G20" s="446"/>
      <c r="H20" s="447"/>
      <c r="I20" s="132"/>
      <c r="J20" s="132"/>
      <c r="K20" s="132"/>
      <c r="L20" s="132"/>
      <c r="M20" s="132"/>
      <c r="N20" s="132"/>
      <c r="O20" s="132"/>
      <c r="P20" s="1446"/>
    </row>
    <row r="21" spans="1:16">
      <c r="A21" s="1450">
        <f t="shared" si="0"/>
        <v>11</v>
      </c>
      <c r="B21" s="1254" t="s">
        <v>515</v>
      </c>
      <c r="C21" s="445"/>
      <c r="D21" s="446"/>
      <c r="E21" s="446"/>
      <c r="F21" s="446"/>
      <c r="G21" s="446"/>
      <c r="H21" s="447"/>
      <c r="I21" s="132"/>
      <c r="J21" s="132"/>
      <c r="K21" s="132"/>
      <c r="L21" s="132"/>
      <c r="M21" s="132"/>
      <c r="N21" s="132"/>
      <c r="O21" s="132"/>
      <c r="P21" s="1446"/>
    </row>
    <row r="22" spans="1:16">
      <c r="A22" s="1450">
        <f t="shared" si="0"/>
        <v>12</v>
      </c>
      <c r="B22" s="1254" t="s">
        <v>516</v>
      </c>
      <c r="C22" s="445"/>
      <c r="D22" s="446"/>
      <c r="E22" s="446"/>
      <c r="F22" s="446"/>
      <c r="G22" s="446"/>
      <c r="H22" s="447"/>
      <c r="I22" s="132"/>
      <c r="J22" s="132"/>
      <c r="K22" s="132"/>
      <c r="L22" s="132"/>
      <c r="M22" s="132"/>
      <c r="N22" s="132"/>
      <c r="O22" s="132"/>
      <c r="P22" s="1446"/>
    </row>
    <row r="23" spans="1:16">
      <c r="A23" s="1455">
        <f t="shared" si="0"/>
        <v>13</v>
      </c>
      <c r="B23" s="1256" t="s">
        <v>728</v>
      </c>
      <c r="C23" s="445">
        <v>0</v>
      </c>
      <c r="D23" s="446">
        <v>0</v>
      </c>
      <c r="E23" s="446">
        <v>0</v>
      </c>
      <c r="F23" s="446">
        <v>0</v>
      </c>
      <c r="G23" s="446">
        <v>0</v>
      </c>
      <c r="H23" s="447">
        <v>0</v>
      </c>
      <c r="I23" s="132"/>
      <c r="J23" s="132"/>
      <c r="K23" s="132"/>
      <c r="L23" s="132"/>
      <c r="M23" s="132"/>
      <c r="N23" s="132"/>
      <c r="O23" s="132"/>
      <c r="P23" s="1446"/>
    </row>
    <row r="24" spans="1:16" ht="13" thickBot="1">
      <c r="A24" s="1456">
        <f t="shared" si="0"/>
        <v>14</v>
      </c>
      <c r="B24" s="1941" t="s">
        <v>1072</v>
      </c>
      <c r="C24" s="1948">
        <f t="shared" ref="C24:H24" si="1">SUM(C11:C23)/13</f>
        <v>0</v>
      </c>
      <c r="D24" s="1949">
        <f t="shared" si="1"/>
        <v>0</v>
      </c>
      <c r="E24" s="1949">
        <f t="shared" si="1"/>
        <v>7.6923076923076925E-7</v>
      </c>
      <c r="F24" s="1949">
        <f t="shared" si="1"/>
        <v>0</v>
      </c>
      <c r="G24" s="1949">
        <f t="shared" si="1"/>
        <v>0</v>
      </c>
      <c r="H24" s="1950">
        <f t="shared" si="1"/>
        <v>0</v>
      </c>
      <c r="I24" s="132"/>
      <c r="J24" s="132"/>
      <c r="K24" s="132"/>
      <c r="L24" s="132"/>
      <c r="M24" s="132"/>
      <c r="N24" s="132"/>
      <c r="O24" s="132"/>
      <c r="P24" s="1446"/>
    </row>
    <row r="25" spans="1:16" ht="13" thickTop="1">
      <c r="A25" s="1441"/>
      <c r="B25" s="1259"/>
      <c r="C25" s="1260"/>
      <c r="D25" s="1260"/>
      <c r="E25" s="1260"/>
      <c r="F25" s="478"/>
      <c r="G25" s="478"/>
      <c r="H25" s="478"/>
      <c r="I25" s="132"/>
      <c r="J25" s="132"/>
      <c r="K25" s="132"/>
      <c r="L25" s="132"/>
      <c r="M25" s="132"/>
      <c r="N25" s="132"/>
      <c r="O25" s="132"/>
      <c r="P25" s="1446"/>
    </row>
    <row r="26" spans="1:16" ht="14.25" customHeight="1">
      <c r="A26" s="1441"/>
      <c r="B26" s="1259"/>
      <c r="C26" s="1260"/>
      <c r="D26" s="1260"/>
      <c r="E26" s="1260"/>
      <c r="F26" s="478"/>
      <c r="G26" s="478"/>
      <c r="H26" s="478"/>
      <c r="I26" s="132"/>
      <c r="J26" s="132"/>
      <c r="K26" s="132"/>
      <c r="L26" s="132"/>
      <c r="M26" s="132"/>
      <c r="N26" s="132"/>
      <c r="O26" s="132"/>
      <c r="P26" s="1446"/>
    </row>
    <row r="27" spans="1:16" ht="12.75" customHeight="1">
      <c r="A27" s="1441"/>
      <c r="B27" s="1236"/>
      <c r="C27" s="2057" t="s">
        <v>732</v>
      </c>
      <c r="D27" s="2058"/>
      <c r="E27" s="2058"/>
      <c r="F27" s="2058"/>
      <c r="G27" s="2058"/>
      <c r="H27" s="132"/>
      <c r="I27" s="132"/>
      <c r="J27" s="132"/>
      <c r="K27" s="132"/>
      <c r="L27" s="132"/>
      <c r="M27" s="132"/>
      <c r="N27" s="132"/>
      <c r="O27" s="132"/>
      <c r="P27" s="1446"/>
    </row>
    <row r="28" spans="1:16" s="1449" customFormat="1" ht="26">
      <c r="A28" s="1447" t="s">
        <v>706</v>
      </c>
      <c r="B28" s="1238" t="s">
        <v>689</v>
      </c>
      <c r="C28" s="1240" t="s">
        <v>712</v>
      </c>
      <c r="D28" s="1240" t="s">
        <v>713</v>
      </c>
      <c r="E28" s="1240" t="s">
        <v>714</v>
      </c>
      <c r="F28" s="1240" t="s">
        <v>735</v>
      </c>
      <c r="G28" s="1448" t="s">
        <v>736</v>
      </c>
      <c r="J28" s="132"/>
      <c r="K28" s="132"/>
      <c r="L28" s="132"/>
      <c r="M28" s="132"/>
      <c r="N28" s="132"/>
      <c r="O28" s="132"/>
      <c r="P28" s="1446"/>
    </row>
    <row r="29" spans="1:16" s="1451" customFormat="1" ht="13">
      <c r="A29" s="1450"/>
      <c r="B29" s="1244" t="s">
        <v>715</v>
      </c>
      <c r="C29" s="1246" t="s">
        <v>716</v>
      </c>
      <c r="D29" s="1246" t="s">
        <v>717</v>
      </c>
      <c r="E29" s="1246" t="s">
        <v>718</v>
      </c>
      <c r="F29" s="1246" t="s">
        <v>719</v>
      </c>
      <c r="G29" s="1246" t="s">
        <v>720</v>
      </c>
      <c r="J29" s="132"/>
      <c r="K29" s="132"/>
      <c r="L29" s="132"/>
      <c r="M29" s="132"/>
      <c r="N29" s="132"/>
      <c r="O29" s="132"/>
      <c r="P29" s="1446"/>
    </row>
    <row r="30" spans="1:16" s="1451" customFormat="1" ht="52.5" customHeight="1">
      <c r="A30" s="1450"/>
      <c r="B30" s="1244"/>
      <c r="C30" s="1457" t="s">
        <v>723</v>
      </c>
      <c r="D30" s="1453" t="s">
        <v>724</v>
      </c>
      <c r="E30" s="1453" t="s">
        <v>67</v>
      </c>
      <c r="F30" s="1453" t="s">
        <v>654</v>
      </c>
      <c r="G30" s="1454" t="s">
        <v>654</v>
      </c>
      <c r="J30" s="132"/>
      <c r="K30" s="132"/>
      <c r="L30" s="132"/>
      <c r="M30" s="132"/>
      <c r="N30" s="132"/>
      <c r="O30" s="132"/>
      <c r="P30" s="1446"/>
    </row>
    <row r="31" spans="1:16">
      <c r="A31" s="1450">
        <f>+A24+1</f>
        <v>15</v>
      </c>
      <c r="B31" s="1252" t="s">
        <v>725</v>
      </c>
      <c r="C31" s="456">
        <v>0</v>
      </c>
      <c r="D31" s="446">
        <v>0</v>
      </c>
      <c r="E31" s="456">
        <v>0</v>
      </c>
      <c r="F31" s="446">
        <v>0</v>
      </c>
      <c r="G31" s="457"/>
      <c r="J31" s="132"/>
      <c r="K31" s="132"/>
      <c r="L31" s="132"/>
      <c r="M31" s="132"/>
      <c r="N31" s="132"/>
      <c r="O31" s="132"/>
      <c r="P31" s="1446"/>
    </row>
    <row r="32" spans="1:16">
      <c r="A32" s="1450">
        <f>+A31+1</f>
        <v>16</v>
      </c>
      <c r="B32" s="1252" t="s">
        <v>321</v>
      </c>
      <c r="C32" s="445"/>
      <c r="D32" s="446"/>
      <c r="E32" s="446"/>
      <c r="F32" s="446"/>
      <c r="G32" s="446"/>
      <c r="J32" s="132"/>
      <c r="K32" s="132"/>
      <c r="L32" s="132"/>
      <c r="M32" s="132"/>
      <c r="N32" s="132"/>
      <c r="O32" s="132"/>
      <c r="P32" s="1446"/>
    </row>
    <row r="33" spans="1:16">
      <c r="A33" s="1450">
        <f t="shared" ref="A33:A44" si="2">+A32+1</f>
        <v>17</v>
      </c>
      <c r="B33" s="1254" t="s">
        <v>514</v>
      </c>
      <c r="C33" s="445"/>
      <c r="D33" s="446"/>
      <c r="E33" s="446"/>
      <c r="F33" s="446"/>
      <c r="G33" s="446"/>
      <c r="J33" s="132"/>
      <c r="K33" s="132"/>
      <c r="L33" s="132"/>
      <c r="M33" s="132"/>
      <c r="N33" s="132"/>
      <c r="O33" s="132"/>
      <c r="P33" s="1446"/>
    </row>
    <row r="34" spans="1:16">
      <c r="A34" s="1450">
        <f t="shared" si="2"/>
        <v>18</v>
      </c>
      <c r="B34" s="1254" t="s">
        <v>726</v>
      </c>
      <c r="C34" s="445"/>
      <c r="D34" s="446"/>
      <c r="E34" s="446"/>
      <c r="F34" s="446"/>
      <c r="G34" s="446"/>
      <c r="J34" s="132"/>
      <c r="K34" s="132"/>
      <c r="L34" s="132"/>
      <c r="M34" s="132"/>
      <c r="N34" s="132"/>
      <c r="O34" s="132"/>
      <c r="P34" s="1446"/>
    </row>
    <row r="35" spans="1:16">
      <c r="A35" s="1450">
        <f t="shared" si="2"/>
        <v>19</v>
      </c>
      <c r="B35" s="1254" t="s">
        <v>323</v>
      </c>
      <c r="C35" s="445"/>
      <c r="D35" s="446"/>
      <c r="E35" s="446"/>
      <c r="F35" s="446"/>
      <c r="G35" s="446"/>
      <c r="J35" s="132"/>
      <c r="K35" s="132"/>
      <c r="L35" s="132"/>
      <c r="M35" s="132"/>
      <c r="N35" s="132"/>
      <c r="O35" s="132"/>
      <c r="P35" s="1446"/>
    </row>
    <row r="36" spans="1:16">
      <c r="A36" s="1450">
        <f t="shared" si="2"/>
        <v>20</v>
      </c>
      <c r="B36" s="1254" t="s">
        <v>324</v>
      </c>
      <c r="C36" s="445"/>
      <c r="D36" s="446"/>
      <c r="E36" s="446"/>
      <c r="F36" s="446"/>
      <c r="G36" s="446"/>
      <c r="J36" s="132"/>
      <c r="K36" s="132"/>
      <c r="L36" s="132"/>
      <c r="M36" s="132"/>
      <c r="N36" s="132"/>
      <c r="O36" s="132"/>
      <c r="P36" s="1446"/>
    </row>
    <row r="37" spans="1:16">
      <c r="A37" s="1450">
        <f t="shared" si="2"/>
        <v>21</v>
      </c>
      <c r="B37" s="1254" t="s">
        <v>48</v>
      </c>
      <c r="C37" s="445"/>
      <c r="D37" s="446"/>
      <c r="E37" s="446"/>
      <c r="F37" s="446"/>
      <c r="G37" s="446"/>
      <c r="J37" s="132"/>
      <c r="K37" s="132"/>
      <c r="L37" s="132"/>
      <c r="M37" s="132"/>
      <c r="N37" s="132"/>
      <c r="O37" s="132"/>
      <c r="P37" s="1446"/>
    </row>
    <row r="38" spans="1:16">
      <c r="A38" s="1450">
        <f t="shared" si="2"/>
        <v>22</v>
      </c>
      <c r="B38" s="1254" t="s">
        <v>325</v>
      </c>
      <c r="C38" s="445"/>
      <c r="D38" s="446"/>
      <c r="E38" s="446"/>
      <c r="F38" s="446"/>
      <c r="G38" s="446"/>
      <c r="J38" s="132"/>
      <c r="K38" s="132"/>
      <c r="L38" s="132"/>
      <c r="M38" s="132"/>
      <c r="N38" s="132"/>
      <c r="O38" s="132"/>
      <c r="P38" s="1446"/>
    </row>
    <row r="39" spans="1:16">
      <c r="A39" s="1450">
        <f t="shared" si="2"/>
        <v>23</v>
      </c>
      <c r="B39" s="1254" t="s">
        <v>727</v>
      </c>
      <c r="C39" s="445"/>
      <c r="D39" s="446"/>
      <c r="E39" s="446"/>
      <c r="F39" s="446"/>
      <c r="G39" s="446"/>
      <c r="J39" s="132"/>
      <c r="K39" s="132"/>
      <c r="L39" s="132"/>
      <c r="M39" s="132"/>
      <c r="N39" s="132"/>
      <c r="O39" s="132"/>
      <c r="P39" s="1446"/>
    </row>
    <row r="40" spans="1:16">
      <c r="A40" s="1450">
        <f t="shared" si="2"/>
        <v>24</v>
      </c>
      <c r="B40" s="1254" t="s">
        <v>328</v>
      </c>
      <c r="C40" s="445"/>
      <c r="D40" s="446"/>
      <c r="E40" s="446"/>
      <c r="F40" s="446"/>
      <c r="G40" s="446"/>
      <c r="J40" s="132"/>
      <c r="K40" s="132"/>
      <c r="L40" s="132"/>
      <c r="M40" s="132"/>
      <c r="N40" s="132"/>
      <c r="O40" s="132"/>
      <c r="P40" s="1446"/>
    </row>
    <row r="41" spans="1:16">
      <c r="A41" s="1450">
        <f t="shared" si="2"/>
        <v>25</v>
      </c>
      <c r="B41" s="1254" t="s">
        <v>515</v>
      </c>
      <c r="C41" s="445"/>
      <c r="D41" s="446"/>
      <c r="E41" s="446"/>
      <c r="F41" s="446"/>
      <c r="G41" s="446"/>
      <c r="J41" s="132"/>
      <c r="K41" s="132"/>
      <c r="L41" s="132"/>
      <c r="M41" s="132"/>
      <c r="N41" s="132"/>
      <c r="O41" s="132"/>
      <c r="P41" s="1446"/>
    </row>
    <row r="42" spans="1:16">
      <c r="A42" s="1450">
        <f t="shared" si="2"/>
        <v>26</v>
      </c>
      <c r="B42" s="1254" t="s">
        <v>516</v>
      </c>
      <c r="C42" s="445"/>
      <c r="D42" s="446"/>
      <c r="E42" s="446"/>
      <c r="F42" s="446"/>
      <c r="G42" s="446"/>
      <c r="J42" s="132"/>
      <c r="K42" s="132"/>
      <c r="L42" s="132"/>
      <c r="M42" s="132"/>
      <c r="N42" s="132"/>
      <c r="O42" s="132"/>
      <c r="P42" s="1446"/>
    </row>
    <row r="43" spans="1:16">
      <c r="A43" s="1455">
        <f t="shared" si="2"/>
        <v>27</v>
      </c>
      <c r="B43" s="1256" t="s">
        <v>728</v>
      </c>
      <c r="C43" s="446">
        <v>0</v>
      </c>
      <c r="D43" s="446">
        <v>0</v>
      </c>
      <c r="E43" s="446">
        <v>0</v>
      </c>
      <c r="F43" s="446">
        <v>0</v>
      </c>
      <c r="G43" s="447"/>
      <c r="J43" s="132"/>
      <c r="K43" s="132"/>
      <c r="L43" s="132"/>
      <c r="M43" s="132"/>
      <c r="N43" s="132"/>
      <c r="O43" s="132"/>
      <c r="P43" s="1446"/>
    </row>
    <row r="44" spans="1:16" ht="13" thickBot="1">
      <c r="A44" s="1456">
        <f t="shared" si="2"/>
        <v>28</v>
      </c>
      <c r="B44" s="1941" t="s">
        <v>1072</v>
      </c>
      <c r="C44" s="1949">
        <f>SUM(C31:C43)/13</f>
        <v>0</v>
      </c>
      <c r="D44" s="1949">
        <f>SUM(D31:D43)/13</f>
        <v>0</v>
      </c>
      <c r="E44" s="1949">
        <f>SUM(E31:E43)/13</f>
        <v>0</v>
      </c>
      <c r="F44" s="1949">
        <f>SUM(F31:F43)/13</f>
        <v>0</v>
      </c>
      <c r="G44" s="1950">
        <f>SUM(G31:G43)/13</f>
        <v>0</v>
      </c>
      <c r="J44" s="132"/>
      <c r="K44" s="132"/>
      <c r="L44" s="132"/>
      <c r="M44" s="132"/>
      <c r="N44" s="132"/>
      <c r="O44" s="132"/>
      <c r="P44" s="1446"/>
    </row>
    <row r="45" spans="1:16" ht="13" thickTop="1">
      <c r="A45" s="1441"/>
      <c r="B45" s="1259"/>
      <c r="C45" s="1260"/>
      <c r="D45" s="1260"/>
      <c r="E45" s="1260"/>
      <c r="F45" s="478"/>
      <c r="G45" s="478"/>
      <c r="H45" s="132"/>
      <c r="I45" s="132"/>
      <c r="J45" s="132"/>
      <c r="K45" s="132"/>
      <c r="L45" s="132"/>
      <c r="M45" s="132"/>
      <c r="N45" s="132"/>
      <c r="O45" s="132"/>
      <c r="P45" s="1446"/>
    </row>
    <row r="46" spans="1:16">
      <c r="A46" s="1441"/>
      <c r="C46" s="1260"/>
      <c r="D46" s="1260"/>
      <c r="E46" s="1260"/>
      <c r="F46" s="478"/>
      <c r="G46" s="478"/>
      <c r="H46" s="478"/>
      <c r="I46" s="478"/>
      <c r="J46" s="478"/>
      <c r="K46" s="1260"/>
      <c r="L46" s="1260"/>
      <c r="M46" s="1260"/>
      <c r="N46" s="1458"/>
      <c r="O46" s="1458"/>
      <c r="P46" s="1446"/>
    </row>
    <row r="47" spans="1:16" ht="13">
      <c r="A47" s="1441"/>
      <c r="B47" s="1459" t="s">
        <v>754</v>
      </c>
      <c r="C47" s="1260"/>
      <c r="D47" s="1260"/>
      <c r="E47" s="1260"/>
      <c r="F47" s="478"/>
      <c r="G47" s="478"/>
      <c r="H47" s="478"/>
      <c r="I47" s="478"/>
      <c r="J47" s="478"/>
      <c r="K47" s="1260"/>
      <c r="L47" s="1260"/>
      <c r="M47" s="1260"/>
      <c r="N47" s="1458"/>
      <c r="O47" s="1458"/>
      <c r="P47" s="1446"/>
    </row>
    <row r="48" spans="1:16" ht="26">
      <c r="A48" s="1460" t="s">
        <v>706</v>
      </c>
      <c r="B48" s="1461" t="s">
        <v>740</v>
      </c>
      <c r="C48" s="2084" t="s">
        <v>741</v>
      </c>
      <c r="D48" s="2084"/>
      <c r="E48" s="2084"/>
      <c r="F48" s="1462" t="s">
        <v>742</v>
      </c>
      <c r="G48" s="1462" t="str">
        <f>'SWT TCOS'!N2&amp;" Rate Year Beginning balance"</f>
        <v>2019 Rate Year Beginning balance</v>
      </c>
      <c r="H48" s="1462" t="str">
        <f>'SWT TCOS'!N2&amp;" Rate Year Ending balance"</f>
        <v>2019 Rate Year Ending balance</v>
      </c>
      <c r="I48" s="1240" t="str">
        <f>'SWT TCOS'!N2&amp;" Rate Year Average"</f>
        <v>2019 Rate Year Average</v>
      </c>
      <c r="J48" s="478"/>
      <c r="K48" s="1260"/>
      <c r="L48" s="1260"/>
      <c r="M48" s="1260"/>
      <c r="N48" s="1458"/>
      <c r="O48" s="1458"/>
      <c r="P48" s="1446"/>
    </row>
    <row r="49" spans="1:16" ht="13">
      <c r="A49" s="1441"/>
      <c r="B49" s="1246" t="s">
        <v>715</v>
      </c>
      <c r="C49" s="2085" t="s">
        <v>716</v>
      </c>
      <c r="D49" s="2085"/>
      <c r="E49" s="2085"/>
      <c r="F49" s="1246" t="s">
        <v>717</v>
      </c>
      <c r="G49" s="1246" t="s">
        <v>718</v>
      </c>
      <c r="H49" s="1246" t="s">
        <v>719</v>
      </c>
      <c r="I49" s="1463" t="s">
        <v>720</v>
      </c>
      <c r="J49" s="478"/>
      <c r="K49" s="1260"/>
      <c r="L49" s="1260"/>
      <c r="M49" s="1260"/>
      <c r="N49" s="1458"/>
      <c r="O49" s="1458"/>
      <c r="P49" s="1446"/>
    </row>
    <row r="50" spans="1:16">
      <c r="A50" s="1464" t="str">
        <f>+A$44+1&amp;"A"</f>
        <v>29A</v>
      </c>
      <c r="B50" s="446"/>
      <c r="C50" s="446"/>
      <c r="D50" s="446"/>
      <c r="E50" s="446"/>
      <c r="F50" s="465"/>
      <c r="G50" s="446"/>
      <c r="H50" s="446"/>
      <c r="I50" s="446">
        <f>+(G50+H50)/2</f>
        <v>0</v>
      </c>
    </row>
    <row r="51" spans="1:16">
      <c r="A51" s="1464" t="str">
        <f>+A$44+1&amp;"B"</f>
        <v>29B</v>
      </c>
      <c r="B51" s="446"/>
      <c r="C51" s="446"/>
      <c r="D51" s="446"/>
      <c r="E51" s="446"/>
      <c r="F51" s="465"/>
      <c r="G51" s="446"/>
      <c r="H51" s="446"/>
      <c r="I51" s="446">
        <f>+(G51+H51)/2</f>
        <v>0</v>
      </c>
    </row>
    <row r="52" spans="1:16">
      <c r="A52" s="1464" t="str">
        <f>+A$44+1&amp;"C"</f>
        <v>29C</v>
      </c>
      <c r="B52" s="446"/>
      <c r="C52" s="446"/>
      <c r="D52" s="446"/>
      <c r="E52" s="446"/>
      <c r="F52" s="446"/>
      <c r="G52" s="446"/>
      <c r="H52" s="446"/>
      <c r="I52" s="446">
        <f>+(G52+H52)/2</f>
        <v>0</v>
      </c>
    </row>
    <row r="53" spans="1:16" ht="13" thickBot="1">
      <c r="A53" s="1464">
        <f>+A44+2</f>
        <v>30</v>
      </c>
      <c r="B53" s="1465" t="s">
        <v>745</v>
      </c>
      <c r="C53" s="1465"/>
      <c r="D53" s="1465"/>
      <c r="E53" s="1465"/>
      <c r="F53" s="1465"/>
      <c r="G53" s="1466">
        <f>+SUM(G50:G52)</f>
        <v>0</v>
      </c>
      <c r="H53" s="1466">
        <f>+SUM(H50:H52)</f>
        <v>0</v>
      </c>
      <c r="I53" s="1466">
        <f>+SUM(I50:I52)</f>
        <v>0</v>
      </c>
    </row>
    <row r="54" spans="1:16" ht="13" thickTop="1"/>
    <row r="55" spans="1:16">
      <c r="A55" s="1468" t="s">
        <v>753</v>
      </c>
    </row>
    <row r="56" spans="1:16">
      <c r="A56" s="1464" t="s">
        <v>300</v>
      </c>
      <c r="B56" s="1439" t="s">
        <v>756</v>
      </c>
    </row>
    <row r="57" spans="1:16">
      <c r="A57" s="1441" t="s">
        <v>301</v>
      </c>
      <c r="B57" s="1469" t="s">
        <v>755</v>
      </c>
    </row>
  </sheetData>
  <mergeCells count="8">
    <mergeCell ref="C48:E48"/>
    <mergeCell ref="C49:E49"/>
    <mergeCell ref="A2:H2"/>
    <mergeCell ref="A3:H3"/>
    <mergeCell ref="A4:H4"/>
    <mergeCell ref="A5:H5"/>
    <mergeCell ref="C7:H7"/>
    <mergeCell ref="C27:G27"/>
  </mergeCells>
  <pageMargins left="0.7" right="0.7" top="0.75" bottom="0.75" header="0.3" footer="0.3"/>
  <pageSetup scale="10" orientation="portrait" cellComments="asDisplayed" r:id="rId1"/>
  <headerFooter>
    <oddHeader>&amp;RAEP - SPP Transco Formula Rate
TCOS - WS A-1
Page: &amp;P of &amp;N</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zoomScaleNormal="100" zoomScaleSheetLayoutView="70" zoomScalePageLayoutView="80" workbookViewId="0">
      <selection activeCell="C28" sqref="C28"/>
    </sheetView>
  </sheetViews>
  <sheetFormatPr defaultColWidth="11.453125" defaultRowHeight="12.5"/>
  <cols>
    <col min="1" max="1" width="10.26953125" style="1467" customWidth="1"/>
    <col min="2" max="2" width="39.81640625" style="1439" customWidth="1"/>
    <col min="3" max="3" width="21.1796875" style="1439" customWidth="1"/>
    <col min="4" max="4" width="19.26953125" style="1439" customWidth="1"/>
    <col min="5" max="5" width="18.81640625" style="1439" customWidth="1"/>
    <col min="6" max="6" width="18" style="1439" customWidth="1"/>
    <col min="7" max="7" width="16.54296875" style="1439" customWidth="1"/>
    <col min="8" max="8" width="17.1796875" style="1439" customWidth="1"/>
    <col min="9" max="9" width="15.26953125" style="1439" customWidth="1"/>
    <col min="10" max="15" width="20.26953125" style="1439" customWidth="1"/>
    <col min="16" max="16" width="20" style="1439" customWidth="1"/>
    <col min="17" max="18" width="15.1796875" style="1439" customWidth="1"/>
    <col min="19" max="16384" width="11.453125" style="1439"/>
  </cols>
  <sheetData>
    <row r="1" spans="1:16" ht="15.5">
      <c r="A1" s="1438"/>
    </row>
    <row r="2" spans="1:16" ht="15.5">
      <c r="A2" s="2086" t="str">
        <f>'SWT TCOS'!F4</f>
        <v xml:space="preserve">AEP West SPP Member Transmission Companies </v>
      </c>
      <c r="B2" s="2086"/>
      <c r="C2" s="2086"/>
      <c r="D2" s="2086"/>
      <c r="E2" s="2086"/>
      <c r="F2" s="2086"/>
      <c r="G2" s="2086"/>
      <c r="H2" s="2086"/>
      <c r="I2" s="1440"/>
      <c r="J2" s="1440"/>
      <c r="K2" s="1440"/>
      <c r="L2" s="1441"/>
      <c r="M2" s="1441"/>
    </row>
    <row r="3" spans="1:16" ht="15.5">
      <c r="A3" s="2086" t="str">
        <f>"Actual / Projected "&amp;'SWT TCOS'!$N$2&amp;" Rate Year Cost of Service Formula Rate "</f>
        <v xml:space="preserve">Actual / Projected 2019 Rate Year Cost of Service Formula Rate </v>
      </c>
      <c r="B3" s="2086"/>
      <c r="C3" s="2086"/>
      <c r="D3" s="2086"/>
      <c r="E3" s="2086"/>
      <c r="F3" s="2086"/>
      <c r="G3" s="2086"/>
      <c r="H3" s="2086"/>
      <c r="I3" s="1440"/>
      <c r="J3" s="1440"/>
      <c r="K3" s="1440"/>
      <c r="L3" s="1441"/>
      <c r="M3" s="1441"/>
      <c r="N3" s="1441"/>
      <c r="P3" s="1442"/>
    </row>
    <row r="4" spans="1:16" ht="15.5">
      <c r="A4" s="2087" t="s">
        <v>737</v>
      </c>
      <c r="B4" s="2087"/>
      <c r="C4" s="2087"/>
      <c r="D4" s="2087"/>
      <c r="E4" s="2087"/>
      <c r="F4" s="2087"/>
      <c r="G4" s="2087"/>
      <c r="H4" s="2087"/>
      <c r="I4" s="1440"/>
      <c r="J4" s="1440"/>
      <c r="K4" s="1440"/>
      <c r="L4" s="1441"/>
      <c r="M4" s="1441"/>
      <c r="N4" s="1441"/>
    </row>
    <row r="5" spans="1:16" ht="15.5">
      <c r="A5" s="2088" t="str">
        <f>+'SWT TCOS'!$F$8</f>
        <v>AEP SOUTHWESTERN TRANSMISSION COMPANY</v>
      </c>
      <c r="B5" s="2088"/>
      <c r="C5" s="2088"/>
      <c r="D5" s="2088"/>
      <c r="E5" s="2088"/>
      <c r="F5" s="2088"/>
      <c r="G5" s="2088"/>
      <c r="H5" s="2088"/>
      <c r="I5" s="1443"/>
      <c r="J5" s="1443"/>
      <c r="K5" s="1443"/>
      <c r="L5" s="1441"/>
      <c r="M5" s="1441"/>
      <c r="N5" s="1441"/>
    </row>
    <row r="6" spans="1:16" ht="13">
      <c r="A6" s="1441"/>
      <c r="B6" s="1236"/>
      <c r="C6" s="1236"/>
      <c r="D6" s="1236"/>
      <c r="E6" s="1236"/>
      <c r="F6" s="1236"/>
      <c r="G6" s="1236"/>
      <c r="H6" s="1236"/>
      <c r="I6" s="1444"/>
      <c r="J6" s="1445"/>
      <c r="L6" s="1445"/>
      <c r="N6" s="1445"/>
      <c r="P6" s="1445"/>
    </row>
    <row r="7" spans="1:16" ht="12.75" customHeight="1">
      <c r="A7" s="1441"/>
      <c r="B7" s="1236"/>
      <c r="C7" s="2057" t="s">
        <v>734</v>
      </c>
      <c r="D7" s="2058"/>
      <c r="E7" s="2058"/>
      <c r="F7" s="2058"/>
      <c r="G7" s="2058"/>
      <c r="H7" s="2059"/>
      <c r="I7" s="132"/>
      <c r="J7" s="132"/>
      <c r="K7" s="132"/>
      <c r="L7" s="132"/>
      <c r="M7" s="132"/>
      <c r="N7" s="132"/>
      <c r="O7" s="132"/>
      <c r="P7" s="1446"/>
    </row>
    <row r="8" spans="1:16" s="1449" customFormat="1" ht="56.25" customHeight="1">
      <c r="A8" s="1447" t="s">
        <v>706</v>
      </c>
      <c r="B8" s="1238" t="s">
        <v>689</v>
      </c>
      <c r="C8" s="1240" t="s">
        <v>707</v>
      </c>
      <c r="D8" s="1240" t="s">
        <v>708</v>
      </c>
      <c r="E8" s="1240" t="s">
        <v>254</v>
      </c>
      <c r="F8" s="1240" t="s">
        <v>709</v>
      </c>
      <c r="G8" s="1240" t="s">
        <v>710</v>
      </c>
      <c r="H8" s="1240" t="s">
        <v>711</v>
      </c>
      <c r="I8" s="132"/>
      <c r="J8" s="132"/>
      <c r="K8" s="132"/>
      <c r="L8" s="132"/>
      <c r="M8" s="132"/>
      <c r="N8" s="132"/>
      <c r="O8" s="132"/>
      <c r="P8" s="1446"/>
    </row>
    <row r="9" spans="1:16" s="1451" customFormat="1" ht="13">
      <c r="A9" s="1450"/>
      <c r="B9" s="1244" t="s">
        <v>715</v>
      </c>
      <c r="C9" s="1246" t="s">
        <v>716</v>
      </c>
      <c r="D9" s="1246" t="s">
        <v>717</v>
      </c>
      <c r="E9" s="1246" t="s">
        <v>718</v>
      </c>
      <c r="F9" s="1246" t="s">
        <v>719</v>
      </c>
      <c r="G9" s="1246" t="s">
        <v>720</v>
      </c>
      <c r="H9" s="1246" t="s">
        <v>721</v>
      </c>
      <c r="I9" s="132"/>
      <c r="J9" s="132"/>
      <c r="K9" s="132"/>
      <c r="L9" s="132"/>
      <c r="M9" s="132"/>
      <c r="N9" s="132"/>
      <c r="O9" s="132"/>
      <c r="P9" s="1446"/>
    </row>
    <row r="10" spans="1:16" s="1451" customFormat="1" ht="44.25" customHeight="1">
      <c r="A10" s="1450"/>
      <c r="B10" s="1244"/>
      <c r="C10" s="1453" t="s">
        <v>21</v>
      </c>
      <c r="D10" s="1453" t="s">
        <v>729</v>
      </c>
      <c r="E10" s="1453" t="s">
        <v>22</v>
      </c>
      <c r="F10" s="1453" t="s">
        <v>729</v>
      </c>
      <c r="G10" s="1453" t="s">
        <v>180</v>
      </c>
      <c r="H10" s="1453" t="s">
        <v>729</v>
      </c>
      <c r="I10" s="132"/>
      <c r="J10" s="132"/>
      <c r="K10" s="132"/>
      <c r="L10" s="132"/>
      <c r="M10" s="132"/>
      <c r="N10" s="132"/>
      <c r="O10" s="132"/>
      <c r="P10" s="1446"/>
    </row>
    <row r="11" spans="1:16">
      <c r="A11" s="1450">
        <v>1</v>
      </c>
      <c r="B11" s="1252" t="s">
        <v>725</v>
      </c>
      <c r="C11" s="446">
        <v>0</v>
      </c>
      <c r="D11" s="446">
        <v>0</v>
      </c>
      <c r="E11" s="446">
        <v>0</v>
      </c>
      <c r="F11" s="446">
        <v>0</v>
      </c>
      <c r="G11" s="446">
        <v>0</v>
      </c>
      <c r="H11" s="446">
        <v>0</v>
      </c>
      <c r="I11" s="132"/>
      <c r="J11" s="132"/>
      <c r="K11" s="132"/>
      <c r="L11" s="132"/>
      <c r="M11" s="132"/>
      <c r="N11" s="132"/>
      <c r="O11" s="132"/>
      <c r="P11" s="1446"/>
    </row>
    <row r="12" spans="1:16">
      <c r="A12" s="1450">
        <f>+A11+1</f>
        <v>2</v>
      </c>
      <c r="B12" s="1252" t="s">
        <v>321</v>
      </c>
      <c r="C12" s="446"/>
      <c r="D12" s="446"/>
      <c r="E12" s="446"/>
      <c r="F12" s="446"/>
      <c r="G12" s="446"/>
      <c r="H12" s="446"/>
      <c r="I12" s="132"/>
      <c r="J12" s="132"/>
      <c r="K12" s="132"/>
      <c r="L12" s="132"/>
      <c r="M12" s="132"/>
      <c r="N12" s="132"/>
      <c r="O12" s="132"/>
      <c r="P12" s="1446"/>
    </row>
    <row r="13" spans="1:16">
      <c r="A13" s="1450">
        <f t="shared" ref="A13:A24" si="0">+A12+1</f>
        <v>3</v>
      </c>
      <c r="B13" s="1254" t="s">
        <v>514</v>
      </c>
      <c r="C13" s="446"/>
      <c r="D13" s="446"/>
      <c r="E13" s="446"/>
      <c r="F13" s="446"/>
      <c r="G13" s="446"/>
      <c r="H13" s="446"/>
      <c r="I13" s="132"/>
      <c r="J13" s="132"/>
      <c r="K13" s="132"/>
      <c r="L13" s="132"/>
      <c r="M13" s="132"/>
      <c r="N13" s="132"/>
      <c r="O13" s="132"/>
      <c r="P13" s="1446"/>
    </row>
    <row r="14" spans="1:16">
      <c r="A14" s="1450">
        <f t="shared" si="0"/>
        <v>4</v>
      </c>
      <c r="B14" s="1254" t="s">
        <v>726</v>
      </c>
      <c r="C14" s="446"/>
      <c r="D14" s="446"/>
      <c r="E14" s="446"/>
      <c r="F14" s="446"/>
      <c r="G14" s="446"/>
      <c r="H14" s="446"/>
      <c r="I14" s="132"/>
      <c r="J14" s="132"/>
      <c r="K14" s="132"/>
      <c r="L14" s="132"/>
      <c r="M14" s="132"/>
      <c r="N14" s="132"/>
      <c r="O14" s="132"/>
      <c r="P14" s="1446"/>
    </row>
    <row r="15" spans="1:16">
      <c r="A15" s="1450">
        <f t="shared" si="0"/>
        <v>5</v>
      </c>
      <c r="B15" s="1254" t="s">
        <v>323</v>
      </c>
      <c r="C15" s="446"/>
      <c r="D15" s="446"/>
      <c r="E15" s="446"/>
      <c r="F15" s="446"/>
      <c r="G15" s="446"/>
      <c r="H15" s="446"/>
      <c r="I15" s="132"/>
      <c r="J15" s="132"/>
      <c r="K15" s="132"/>
      <c r="L15" s="132"/>
      <c r="M15" s="132"/>
      <c r="N15" s="132"/>
      <c r="O15" s="132"/>
      <c r="P15" s="1446"/>
    </row>
    <row r="16" spans="1:16">
      <c r="A16" s="1450">
        <f t="shared" si="0"/>
        <v>6</v>
      </c>
      <c r="B16" s="1254" t="s">
        <v>324</v>
      </c>
      <c r="C16" s="446"/>
      <c r="D16" s="446"/>
      <c r="E16" s="446"/>
      <c r="F16" s="446"/>
      <c r="G16" s="446"/>
      <c r="H16" s="446"/>
      <c r="I16" s="132"/>
      <c r="J16" s="132"/>
      <c r="K16" s="132"/>
      <c r="L16" s="132"/>
      <c r="M16" s="132"/>
      <c r="N16" s="132"/>
      <c r="O16" s="132"/>
      <c r="P16" s="1446"/>
    </row>
    <row r="17" spans="1:16">
      <c r="A17" s="1450">
        <f t="shared" si="0"/>
        <v>7</v>
      </c>
      <c r="B17" s="1254" t="s">
        <v>48</v>
      </c>
      <c r="C17" s="446"/>
      <c r="D17" s="446"/>
      <c r="E17" s="446"/>
      <c r="F17" s="446"/>
      <c r="G17" s="446"/>
      <c r="H17" s="446"/>
      <c r="I17" s="132"/>
      <c r="J17" s="132"/>
      <c r="K17" s="132"/>
      <c r="L17" s="132"/>
      <c r="M17" s="132"/>
      <c r="N17" s="132"/>
      <c r="O17" s="132"/>
      <c r="P17" s="1446"/>
    </row>
    <row r="18" spans="1:16">
      <c r="A18" s="1450">
        <f t="shared" si="0"/>
        <v>8</v>
      </c>
      <c r="B18" s="1254" t="s">
        <v>325</v>
      </c>
      <c r="C18" s="446"/>
      <c r="D18" s="446"/>
      <c r="E18" s="446"/>
      <c r="F18" s="446"/>
      <c r="G18" s="446"/>
      <c r="H18" s="446"/>
      <c r="I18" s="132"/>
      <c r="J18" s="132"/>
      <c r="K18" s="132"/>
      <c r="L18" s="132"/>
      <c r="M18" s="132"/>
      <c r="N18" s="132"/>
      <c r="O18" s="132"/>
      <c r="P18" s="1446"/>
    </row>
    <row r="19" spans="1:16">
      <c r="A19" s="1450">
        <f t="shared" si="0"/>
        <v>9</v>
      </c>
      <c r="B19" s="1254" t="s">
        <v>727</v>
      </c>
      <c r="C19" s="446"/>
      <c r="D19" s="446"/>
      <c r="E19" s="446"/>
      <c r="F19" s="446"/>
      <c r="G19" s="446"/>
      <c r="H19" s="446"/>
      <c r="I19" s="132"/>
      <c r="J19" s="132"/>
      <c r="K19" s="132"/>
      <c r="L19" s="132"/>
      <c r="M19" s="132"/>
      <c r="N19" s="132"/>
      <c r="O19" s="132"/>
      <c r="P19" s="1446"/>
    </row>
    <row r="20" spans="1:16">
      <c r="A20" s="1450">
        <f t="shared" si="0"/>
        <v>10</v>
      </c>
      <c r="B20" s="1254" t="s">
        <v>328</v>
      </c>
      <c r="C20" s="446"/>
      <c r="D20" s="446"/>
      <c r="E20" s="446"/>
      <c r="F20" s="446"/>
      <c r="G20" s="446"/>
      <c r="H20" s="446"/>
      <c r="I20" s="132"/>
      <c r="J20" s="132"/>
      <c r="K20" s="132"/>
      <c r="L20" s="132"/>
      <c r="M20" s="132"/>
      <c r="N20" s="132"/>
      <c r="O20" s="132"/>
      <c r="P20" s="1446"/>
    </row>
    <row r="21" spans="1:16">
      <c r="A21" s="1450">
        <f t="shared" si="0"/>
        <v>11</v>
      </c>
      <c r="B21" s="1254" t="s">
        <v>515</v>
      </c>
      <c r="C21" s="446"/>
      <c r="D21" s="446"/>
      <c r="E21" s="446"/>
      <c r="F21" s="446"/>
      <c r="G21" s="446"/>
      <c r="H21" s="446"/>
      <c r="I21" s="132"/>
      <c r="J21" s="132"/>
      <c r="K21" s="132"/>
      <c r="L21" s="132"/>
      <c r="M21" s="132"/>
      <c r="N21" s="132"/>
      <c r="O21" s="132"/>
      <c r="P21" s="1446"/>
    </row>
    <row r="22" spans="1:16">
      <c r="A22" s="1450">
        <f t="shared" si="0"/>
        <v>12</v>
      </c>
      <c r="B22" s="1254" t="s">
        <v>516</v>
      </c>
      <c r="C22" s="446"/>
      <c r="D22" s="446"/>
      <c r="E22" s="446"/>
      <c r="F22" s="446"/>
      <c r="G22" s="446"/>
      <c r="H22" s="446"/>
      <c r="I22" s="132"/>
      <c r="J22" s="132"/>
      <c r="K22" s="132"/>
      <c r="L22" s="132"/>
      <c r="M22" s="132"/>
      <c r="N22" s="132"/>
      <c r="O22" s="132"/>
      <c r="P22" s="1446"/>
    </row>
    <row r="23" spans="1:16">
      <c r="A23" s="1455">
        <f t="shared" si="0"/>
        <v>13</v>
      </c>
      <c r="B23" s="1470" t="s">
        <v>728</v>
      </c>
      <c r="C23" s="446">
        <v>0</v>
      </c>
      <c r="D23" s="446">
        <v>0</v>
      </c>
      <c r="E23" s="446">
        <v>0</v>
      </c>
      <c r="F23" s="446">
        <v>0</v>
      </c>
      <c r="G23" s="446">
        <v>0</v>
      </c>
      <c r="H23" s="446">
        <v>0</v>
      </c>
      <c r="I23" s="132"/>
      <c r="J23" s="132"/>
      <c r="K23" s="132"/>
      <c r="L23" s="132"/>
      <c r="M23" s="132"/>
      <c r="N23" s="132"/>
      <c r="O23" s="132"/>
      <c r="P23" s="1446"/>
    </row>
    <row r="24" spans="1:16" ht="13" thickBot="1">
      <c r="A24" s="1456">
        <f t="shared" si="0"/>
        <v>14</v>
      </c>
      <c r="B24" s="1941" t="s">
        <v>1072</v>
      </c>
      <c r="C24" s="1949">
        <f t="shared" ref="C24:H24" si="1">SUM(C11:C23)/13</f>
        <v>0</v>
      </c>
      <c r="D24" s="1949">
        <f t="shared" si="1"/>
        <v>0</v>
      </c>
      <c r="E24" s="1949">
        <f t="shared" si="1"/>
        <v>0</v>
      </c>
      <c r="F24" s="1949">
        <f t="shared" si="1"/>
        <v>0</v>
      </c>
      <c r="G24" s="1949">
        <f t="shared" si="1"/>
        <v>0</v>
      </c>
      <c r="H24" s="1950">
        <f t="shared" si="1"/>
        <v>0</v>
      </c>
      <c r="I24" s="132"/>
      <c r="J24" s="132"/>
      <c r="K24" s="132"/>
      <c r="L24" s="132"/>
      <c r="M24" s="132"/>
      <c r="N24" s="132"/>
      <c r="O24" s="132"/>
      <c r="P24" s="1446"/>
    </row>
    <row r="25" spans="1:16" ht="13" thickTop="1">
      <c r="A25" s="1441"/>
      <c r="B25" s="1259"/>
      <c r="C25" s="1260"/>
      <c r="D25" s="1260"/>
      <c r="E25" s="1260"/>
      <c r="F25" s="478"/>
      <c r="G25" s="478"/>
      <c r="H25" s="478"/>
      <c r="I25" s="132"/>
      <c r="J25" s="132"/>
      <c r="K25" s="132"/>
      <c r="L25" s="132"/>
      <c r="M25" s="132"/>
      <c r="N25" s="132"/>
      <c r="O25" s="132"/>
      <c r="P25" s="1446"/>
    </row>
    <row r="26" spans="1:16" ht="14.25" customHeight="1">
      <c r="A26" s="1441"/>
      <c r="B26" s="1259"/>
      <c r="C26" s="1260"/>
      <c r="D26" s="1260"/>
      <c r="E26" s="1260"/>
      <c r="F26" s="478"/>
      <c r="G26" s="478"/>
      <c r="H26" s="478"/>
      <c r="I26" s="132"/>
      <c r="J26" s="132"/>
      <c r="K26" s="132"/>
      <c r="L26" s="132"/>
      <c r="M26" s="132"/>
      <c r="N26" s="132"/>
      <c r="O26" s="132"/>
      <c r="P26" s="1446"/>
    </row>
    <row r="27" spans="1:16" ht="12.75" customHeight="1">
      <c r="A27" s="1441"/>
      <c r="B27" s="1236"/>
      <c r="C27" s="2057" t="s">
        <v>733</v>
      </c>
      <c r="D27" s="2058"/>
      <c r="E27" s="2058"/>
      <c r="F27" s="2058"/>
      <c r="G27" s="2059"/>
      <c r="H27" s="1471"/>
      <c r="I27" s="1471"/>
      <c r="J27" s="132"/>
      <c r="K27" s="132"/>
      <c r="L27" s="132"/>
      <c r="M27" s="132"/>
      <c r="N27" s="132"/>
      <c r="O27" s="132"/>
      <c r="P27" s="1446"/>
    </row>
    <row r="28" spans="1:16" s="1449" customFormat="1" ht="29.25" customHeight="1">
      <c r="A28" s="1447" t="s">
        <v>706</v>
      </c>
      <c r="B28" s="1238" t="s">
        <v>689</v>
      </c>
      <c r="C28" s="1240" t="s">
        <v>712</v>
      </c>
      <c r="D28" s="1240" t="s">
        <v>713</v>
      </c>
      <c r="E28" s="1240" t="s">
        <v>714</v>
      </c>
      <c r="F28" s="1240" t="s">
        <v>735</v>
      </c>
      <c r="G28" s="1448" t="s">
        <v>736</v>
      </c>
      <c r="J28" s="132"/>
      <c r="K28" s="132"/>
      <c r="L28" s="132"/>
      <c r="M28" s="132"/>
      <c r="N28" s="132"/>
      <c r="O28" s="132"/>
      <c r="P28" s="1446"/>
    </row>
    <row r="29" spans="1:16" s="1451" customFormat="1" ht="13">
      <c r="A29" s="1450"/>
      <c r="B29" s="1244" t="s">
        <v>715</v>
      </c>
      <c r="C29" s="1246" t="s">
        <v>716</v>
      </c>
      <c r="D29" s="1246" t="s">
        <v>717</v>
      </c>
      <c r="E29" s="1246" t="s">
        <v>718</v>
      </c>
      <c r="F29" s="1246" t="s">
        <v>719</v>
      </c>
      <c r="G29" s="1246" t="s">
        <v>720</v>
      </c>
      <c r="J29" s="132"/>
      <c r="K29" s="132"/>
      <c r="L29" s="132"/>
      <c r="M29" s="132"/>
      <c r="N29" s="132"/>
      <c r="O29" s="132"/>
      <c r="P29" s="1446"/>
    </row>
    <row r="30" spans="1:16" s="1451" customFormat="1" ht="52.5" customHeight="1">
      <c r="A30" s="1450"/>
      <c r="B30" s="1244"/>
      <c r="C30" s="1453" t="s">
        <v>130</v>
      </c>
      <c r="D30" s="1453" t="s">
        <v>730</v>
      </c>
      <c r="E30" s="1453" t="s">
        <v>181</v>
      </c>
      <c r="F30" s="1453" t="s">
        <v>654</v>
      </c>
      <c r="G30" s="1454" t="s">
        <v>654</v>
      </c>
      <c r="J30" s="132"/>
      <c r="K30" s="132"/>
      <c r="L30" s="132"/>
      <c r="M30" s="132"/>
      <c r="N30" s="132"/>
      <c r="O30" s="132"/>
      <c r="P30" s="1446"/>
    </row>
    <row r="31" spans="1:16">
      <c r="A31" s="1450">
        <f>+A24+1</f>
        <v>15</v>
      </c>
      <c r="B31" s="1252" t="s">
        <v>725</v>
      </c>
      <c r="C31" s="456">
        <v>0</v>
      </c>
      <c r="D31" s="446">
        <v>0</v>
      </c>
      <c r="E31" s="446">
        <v>0</v>
      </c>
      <c r="F31" s="446">
        <v>0</v>
      </c>
      <c r="G31" s="447">
        <v>0</v>
      </c>
      <c r="J31" s="132"/>
      <c r="K31" s="132"/>
      <c r="L31" s="132"/>
      <c r="M31" s="132"/>
      <c r="N31" s="132"/>
      <c r="O31" s="132"/>
      <c r="P31" s="1446"/>
    </row>
    <row r="32" spans="1:16">
      <c r="A32" s="1450">
        <f>+A31+1</f>
        <v>16</v>
      </c>
      <c r="B32" s="1252" t="s">
        <v>321</v>
      </c>
      <c r="C32" s="446"/>
      <c r="D32" s="446"/>
      <c r="E32" s="446"/>
      <c r="F32" s="446"/>
      <c r="G32" s="446"/>
      <c r="J32" s="132"/>
      <c r="K32" s="132"/>
      <c r="L32" s="132"/>
      <c r="M32" s="132"/>
      <c r="N32" s="132"/>
      <c r="O32" s="132"/>
      <c r="P32" s="1446"/>
    </row>
    <row r="33" spans="1:16">
      <c r="A33" s="1450">
        <f t="shared" ref="A33:A44" si="2">+A32+1</f>
        <v>17</v>
      </c>
      <c r="B33" s="1254" t="s">
        <v>514</v>
      </c>
      <c r="C33" s="446"/>
      <c r="D33" s="446"/>
      <c r="E33" s="446"/>
      <c r="F33" s="446"/>
      <c r="G33" s="446"/>
      <c r="J33" s="132"/>
      <c r="K33" s="132"/>
      <c r="L33" s="132"/>
      <c r="M33" s="132"/>
      <c r="N33" s="132"/>
      <c r="O33" s="132"/>
      <c r="P33" s="1446"/>
    </row>
    <row r="34" spans="1:16">
      <c r="A34" s="1450">
        <f t="shared" si="2"/>
        <v>18</v>
      </c>
      <c r="B34" s="1254" t="s">
        <v>726</v>
      </c>
      <c r="C34" s="446"/>
      <c r="D34" s="446"/>
      <c r="E34" s="446"/>
      <c r="F34" s="446"/>
      <c r="G34" s="446"/>
      <c r="J34" s="132"/>
      <c r="K34" s="132"/>
      <c r="L34" s="132"/>
      <c r="M34" s="132"/>
      <c r="N34" s="132"/>
      <c r="O34" s="132"/>
      <c r="P34" s="1446"/>
    </row>
    <row r="35" spans="1:16">
      <c r="A35" s="1450">
        <f t="shared" si="2"/>
        <v>19</v>
      </c>
      <c r="B35" s="1254" t="s">
        <v>323</v>
      </c>
      <c r="C35" s="446"/>
      <c r="D35" s="446"/>
      <c r="E35" s="446"/>
      <c r="F35" s="446"/>
      <c r="G35" s="446"/>
      <c r="J35" s="132"/>
      <c r="K35" s="132"/>
      <c r="L35" s="132"/>
      <c r="M35" s="132"/>
      <c r="N35" s="132"/>
      <c r="O35" s="132"/>
      <c r="P35" s="1446"/>
    </row>
    <row r="36" spans="1:16">
      <c r="A36" s="1450">
        <f t="shared" si="2"/>
        <v>20</v>
      </c>
      <c r="B36" s="1254" t="s">
        <v>324</v>
      </c>
      <c r="C36" s="446"/>
      <c r="D36" s="446"/>
      <c r="E36" s="446"/>
      <c r="F36" s="446"/>
      <c r="G36" s="446"/>
      <c r="J36" s="132"/>
      <c r="K36" s="132"/>
      <c r="L36" s="132"/>
      <c r="M36" s="132"/>
      <c r="N36" s="132"/>
      <c r="O36" s="132"/>
      <c r="P36" s="1446"/>
    </row>
    <row r="37" spans="1:16">
      <c r="A37" s="1450">
        <f t="shared" si="2"/>
        <v>21</v>
      </c>
      <c r="B37" s="1254" t="s">
        <v>48</v>
      </c>
      <c r="C37" s="446"/>
      <c r="D37" s="446"/>
      <c r="E37" s="446"/>
      <c r="F37" s="446"/>
      <c r="G37" s="446"/>
      <c r="J37" s="132"/>
      <c r="K37" s="132"/>
      <c r="L37" s="132"/>
      <c r="M37" s="132"/>
      <c r="N37" s="132"/>
      <c r="O37" s="132"/>
      <c r="P37" s="1446"/>
    </row>
    <row r="38" spans="1:16">
      <c r="A38" s="1450">
        <f t="shared" si="2"/>
        <v>22</v>
      </c>
      <c r="B38" s="1254" t="s">
        <v>325</v>
      </c>
      <c r="C38" s="446"/>
      <c r="D38" s="446"/>
      <c r="E38" s="446"/>
      <c r="F38" s="446"/>
      <c r="G38" s="446"/>
      <c r="J38" s="132"/>
      <c r="K38" s="132"/>
      <c r="L38" s="132"/>
      <c r="M38" s="132"/>
      <c r="N38" s="132"/>
      <c r="O38" s="132"/>
      <c r="P38" s="1446"/>
    </row>
    <row r="39" spans="1:16">
      <c r="A39" s="1450">
        <f t="shared" si="2"/>
        <v>23</v>
      </c>
      <c r="B39" s="1254" t="s">
        <v>727</v>
      </c>
      <c r="C39" s="446"/>
      <c r="D39" s="446"/>
      <c r="E39" s="446"/>
      <c r="F39" s="446"/>
      <c r="G39" s="446"/>
      <c r="J39" s="132"/>
      <c r="K39" s="132"/>
      <c r="L39" s="132"/>
      <c r="M39" s="132"/>
      <c r="N39" s="132"/>
      <c r="O39" s="132"/>
      <c r="P39" s="1446"/>
    </row>
    <row r="40" spans="1:16">
      <c r="A40" s="1450">
        <f t="shared" si="2"/>
        <v>24</v>
      </c>
      <c r="B40" s="1254" t="s">
        <v>328</v>
      </c>
      <c r="C40" s="446"/>
      <c r="D40" s="446"/>
      <c r="E40" s="446"/>
      <c r="F40" s="446"/>
      <c r="G40" s="446"/>
      <c r="J40" s="132"/>
      <c r="K40" s="132"/>
      <c r="L40" s="132"/>
      <c r="M40" s="132"/>
      <c r="N40" s="132"/>
      <c r="O40" s="132"/>
      <c r="P40" s="1446"/>
    </row>
    <row r="41" spans="1:16">
      <c r="A41" s="1450">
        <f t="shared" si="2"/>
        <v>25</v>
      </c>
      <c r="B41" s="1254" t="s">
        <v>515</v>
      </c>
      <c r="C41" s="446"/>
      <c r="D41" s="446"/>
      <c r="E41" s="446"/>
      <c r="F41" s="446"/>
      <c r="G41" s="446"/>
      <c r="J41" s="132"/>
      <c r="K41" s="132"/>
      <c r="L41" s="132"/>
      <c r="M41" s="132"/>
      <c r="N41" s="132"/>
      <c r="O41" s="132"/>
      <c r="P41" s="1446"/>
    </row>
    <row r="42" spans="1:16">
      <c r="A42" s="1450">
        <f t="shared" si="2"/>
        <v>26</v>
      </c>
      <c r="B42" s="1254" t="s">
        <v>516</v>
      </c>
      <c r="C42" s="446"/>
      <c r="D42" s="446"/>
      <c r="E42" s="446"/>
      <c r="F42" s="446"/>
      <c r="G42" s="446"/>
      <c r="J42" s="132"/>
      <c r="K42" s="132"/>
      <c r="L42" s="132"/>
      <c r="M42" s="132"/>
      <c r="N42" s="132"/>
      <c r="O42" s="132"/>
      <c r="P42" s="1446"/>
    </row>
    <row r="43" spans="1:16">
      <c r="A43" s="1455">
        <f t="shared" si="2"/>
        <v>27</v>
      </c>
      <c r="B43" s="1256" t="s">
        <v>728</v>
      </c>
      <c r="C43" s="446">
        <v>0</v>
      </c>
      <c r="D43" s="446">
        <v>0</v>
      </c>
      <c r="E43" s="446">
        <v>0</v>
      </c>
      <c r="F43" s="446">
        <v>0</v>
      </c>
      <c r="G43" s="447">
        <v>0</v>
      </c>
      <c r="J43" s="132"/>
      <c r="K43" s="132"/>
      <c r="L43" s="132"/>
      <c r="M43" s="132"/>
      <c r="N43" s="132"/>
      <c r="O43" s="132"/>
      <c r="P43" s="1446"/>
    </row>
    <row r="44" spans="1:16" ht="13" thickBot="1">
      <c r="A44" s="1456">
        <f t="shared" si="2"/>
        <v>28</v>
      </c>
      <c r="B44" s="1941" t="s">
        <v>1072</v>
      </c>
      <c r="C44" s="1949">
        <f>SUM(C31:C43)/13</f>
        <v>0</v>
      </c>
      <c r="D44" s="1949">
        <f>SUM(D31:D43)/13</f>
        <v>0</v>
      </c>
      <c r="E44" s="1949">
        <f>SUM(E31:E43)/13</f>
        <v>0</v>
      </c>
      <c r="F44" s="1949">
        <f>SUM(F31:F43)/13</f>
        <v>0</v>
      </c>
      <c r="G44" s="1950">
        <f>SUM(G31:G43)/13</f>
        <v>0</v>
      </c>
      <c r="J44" s="132"/>
      <c r="K44" s="132"/>
      <c r="L44" s="132"/>
      <c r="M44" s="132"/>
      <c r="N44" s="132"/>
      <c r="O44" s="132"/>
      <c r="P44" s="1446"/>
    </row>
    <row r="45" spans="1:16" ht="13" thickTop="1">
      <c r="A45" s="1441"/>
      <c r="B45" s="1259"/>
      <c r="C45" s="1260"/>
      <c r="D45" s="1260"/>
      <c r="E45" s="1260"/>
      <c r="F45" s="478"/>
      <c r="G45" s="478"/>
      <c r="H45" s="132"/>
      <c r="I45" s="132"/>
      <c r="J45" s="132"/>
      <c r="K45" s="132"/>
      <c r="L45" s="132"/>
      <c r="M45" s="132"/>
      <c r="N45" s="132"/>
      <c r="O45" s="132"/>
      <c r="P45" s="1446"/>
    </row>
    <row r="46" spans="1:16">
      <c r="A46" s="1441">
        <f>+A44+1</f>
        <v>29</v>
      </c>
      <c r="B46" s="1259" t="str">
        <f>"Transmission Accumulated,  net of GSU and Excluded- Ln "&amp;A24&amp;" Col "&amp;E9&amp;" less Ln "&amp;A44&amp;" Cols. "&amp;F29&amp;" &amp; "&amp;G29</f>
        <v>Transmission Accumulated,  net of GSU and Excluded- Ln 14 Col (d) less Ln 28 Cols. (e) &amp; (f)</v>
      </c>
      <c r="C46" s="1260"/>
      <c r="D46" s="1260"/>
      <c r="G46" s="477">
        <f>+E24-F44-G44</f>
        <v>0</v>
      </c>
      <c r="H46" s="478"/>
      <c r="I46" s="478"/>
      <c r="J46" s="478"/>
      <c r="K46" s="1260"/>
      <c r="L46" s="1260"/>
      <c r="M46" s="1260"/>
      <c r="N46" s="1458"/>
      <c r="O46" s="1458"/>
      <c r="P46" s="1446"/>
    </row>
    <row r="47" spans="1:16">
      <c r="A47" s="1441"/>
      <c r="B47" s="1259"/>
      <c r="C47" s="1260"/>
      <c r="D47" s="1260"/>
      <c r="E47" s="1260"/>
      <c r="F47" s="478"/>
      <c r="G47" s="478"/>
      <c r="H47" s="478"/>
      <c r="I47" s="478"/>
      <c r="J47" s="478"/>
      <c r="K47" s="1260"/>
      <c r="L47" s="1260"/>
      <c r="M47" s="1260"/>
      <c r="N47" s="1458"/>
      <c r="O47" s="1458"/>
      <c r="P47" s="1446"/>
    </row>
    <row r="48" spans="1:16">
      <c r="A48" s="1441"/>
      <c r="B48" s="1259"/>
      <c r="C48" s="1260"/>
      <c r="D48" s="1260"/>
      <c r="E48" s="1260"/>
      <c r="F48" s="478"/>
      <c r="G48" s="478"/>
      <c r="H48" s="478"/>
      <c r="I48" s="478"/>
      <c r="J48" s="478"/>
      <c r="K48" s="1260"/>
      <c r="L48" s="1260"/>
      <c r="M48" s="1260"/>
      <c r="N48" s="1458"/>
      <c r="O48" s="1458"/>
      <c r="P48" s="1446"/>
    </row>
    <row r="49" spans="1:8">
      <c r="A49" s="1469"/>
      <c r="B49" s="1469"/>
      <c r="C49" s="1469"/>
      <c r="D49" s="1469"/>
      <c r="E49" s="1469"/>
      <c r="F49" s="1469"/>
      <c r="G49" s="1469"/>
      <c r="H49" s="1469"/>
    </row>
    <row r="50" spans="1:8">
      <c r="A50" s="1469"/>
      <c r="B50" s="1469"/>
      <c r="C50" s="1469"/>
      <c r="D50" s="1469"/>
      <c r="E50" s="1469"/>
      <c r="F50" s="1469"/>
      <c r="G50" s="1469"/>
      <c r="H50" s="1469"/>
    </row>
  </sheetData>
  <mergeCells count="6">
    <mergeCell ref="C27:G27"/>
    <mergeCell ref="A2:H2"/>
    <mergeCell ref="A3:H3"/>
    <mergeCell ref="A4:H4"/>
    <mergeCell ref="A5:H5"/>
    <mergeCell ref="C7:H7"/>
  </mergeCells>
  <pageMargins left="0.7" right="0.7" top="0.75" bottom="0.75" header="0.3" footer="0.3"/>
  <pageSetup scale="10" orientation="portrait" cellComments="asDisplayed" r:id="rId1"/>
  <headerFooter>
    <oddHeader>&amp;RAEP - SPP Transco Formula Rate
TCOS - WS A-2
Page: &amp;P of &amp;N</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Normal="100" workbookViewId="0">
      <selection activeCell="D19" sqref="D19"/>
    </sheetView>
  </sheetViews>
  <sheetFormatPr defaultColWidth="9.1796875" defaultRowHeight="12.5"/>
  <cols>
    <col min="1" max="1" width="9.1796875" style="397"/>
    <col min="2" max="3" width="27.7265625" style="397" customWidth="1"/>
    <col min="4" max="4" width="41.26953125" style="397" customWidth="1"/>
    <col min="5" max="16384" width="9.1796875" style="397"/>
  </cols>
  <sheetData>
    <row r="1" spans="1:13" ht="15.5">
      <c r="A1" s="481"/>
    </row>
    <row r="2" spans="1:13" ht="15.5">
      <c r="A2" s="1996" t="str">
        <f>+'SWT TCOS'!F4</f>
        <v xml:space="preserve">AEP West SPP Member Transmission Companies </v>
      </c>
      <c r="B2" s="1996"/>
      <c r="C2" s="1996"/>
      <c r="D2" s="1996"/>
      <c r="E2" s="278"/>
      <c r="F2" s="278"/>
      <c r="G2" s="278"/>
      <c r="H2" s="278"/>
      <c r="I2" s="278"/>
      <c r="J2" s="278"/>
      <c r="K2" s="278"/>
      <c r="L2" s="278"/>
      <c r="M2" s="278"/>
    </row>
    <row r="3" spans="1:13" ht="15.5">
      <c r="A3" s="2086" t="str">
        <f>+'SWT WS A-1 - Plant'!A3</f>
        <v xml:space="preserve">Actual / Projected 2019 Rate Year Cost of Service Formula Rate </v>
      </c>
      <c r="B3" s="2086"/>
      <c r="C3" s="2086"/>
      <c r="D3" s="2086"/>
      <c r="E3" s="1440"/>
      <c r="F3" s="1440"/>
      <c r="G3" s="1440"/>
      <c r="H3" s="1440"/>
      <c r="I3" s="1440"/>
      <c r="J3" s="1440"/>
      <c r="K3" s="1440"/>
      <c r="L3" s="1440"/>
      <c r="M3" s="1440"/>
    </row>
    <row r="4" spans="1:13" ht="15.5">
      <c r="A4" s="2087" t="s">
        <v>626</v>
      </c>
      <c r="B4" s="2087"/>
      <c r="C4" s="2087"/>
      <c r="D4" s="2087"/>
      <c r="E4" s="1440"/>
      <c r="F4" s="1440"/>
      <c r="G4" s="1440"/>
      <c r="H4" s="1440"/>
      <c r="I4" s="1440"/>
      <c r="J4" s="1440"/>
      <c r="K4" s="1440"/>
      <c r="L4" s="1440"/>
      <c r="M4" s="1440"/>
    </row>
    <row r="5" spans="1:13" ht="15.5">
      <c r="A5" s="1997" t="str">
        <f>+'SWT TCOS'!F8</f>
        <v>AEP SOUTHWESTERN TRANSMISSION COMPANY</v>
      </c>
      <c r="B5" s="1997"/>
      <c r="C5" s="1997"/>
      <c r="D5" s="1997"/>
      <c r="E5" s="483"/>
      <c r="F5" s="483"/>
      <c r="G5" s="483"/>
      <c r="H5" s="483"/>
      <c r="I5" s="483"/>
      <c r="J5" s="483"/>
      <c r="K5" s="483"/>
      <c r="L5" s="483"/>
      <c r="M5" s="483"/>
    </row>
    <row r="6" spans="1:13" ht="13">
      <c r="A6" s="1472"/>
      <c r="B6" s="1472"/>
      <c r="C6" s="1472"/>
      <c r="D6" s="1472"/>
    </row>
    <row r="7" spans="1:13" ht="14">
      <c r="A7" s="485" t="s">
        <v>526</v>
      </c>
      <c r="B7" s="486"/>
      <c r="C7" s="1473" t="s">
        <v>344</v>
      </c>
      <c r="D7" s="1474" t="s">
        <v>308</v>
      </c>
    </row>
    <row r="8" spans="1:13" ht="14">
      <c r="A8" s="1475"/>
      <c r="B8" s="1476"/>
      <c r="C8" s="1477"/>
      <c r="D8" s="1477"/>
    </row>
    <row r="9" spans="1:13" ht="14">
      <c r="A9" s="492">
        <v>1</v>
      </c>
      <c r="B9" s="493" t="s">
        <v>528</v>
      </c>
      <c r="C9" s="494"/>
      <c r="D9" s="446">
        <v>0</v>
      </c>
    </row>
    <row r="10" spans="1:13" ht="14">
      <c r="A10" s="494"/>
      <c r="B10" s="494"/>
      <c r="C10" s="494"/>
      <c r="D10" s="494"/>
    </row>
    <row r="11" spans="1:13" ht="14">
      <c r="A11" s="494"/>
      <c r="B11" s="494"/>
      <c r="C11" s="494"/>
      <c r="D11" s="494"/>
    </row>
    <row r="12" spans="1:13" ht="119.25" customHeight="1">
      <c r="A12" s="495" t="s">
        <v>527</v>
      </c>
      <c r="B12" s="1998" t="s">
        <v>621</v>
      </c>
      <c r="C12" s="1998"/>
      <c r="D12" s="1998"/>
    </row>
    <row r="13" spans="1:13" ht="14">
      <c r="A13" s="494"/>
      <c r="B13" s="494"/>
      <c r="C13" s="494"/>
      <c r="D13" s="494"/>
    </row>
    <row r="14" spans="1:13" ht="14">
      <c r="A14" s="494"/>
      <c r="B14" s="494"/>
      <c r="C14" s="494"/>
      <c r="D14" s="494"/>
    </row>
    <row r="15" spans="1:13" s="279" customFormat="1" ht="14">
      <c r="A15" s="496"/>
      <c r="B15" s="496"/>
      <c r="C15" s="496"/>
      <c r="D15" s="496"/>
    </row>
    <row r="16" spans="1:13" s="279" customFormat="1" ht="14">
      <c r="A16" s="498"/>
      <c r="B16" s="499"/>
      <c r="C16" s="496"/>
      <c r="D16" s="496"/>
    </row>
    <row r="17" spans="1:2" ht="15" customHeight="1">
      <c r="A17" s="500"/>
    </row>
    <row r="18" spans="1:2" ht="15.5">
      <c r="B18" s="501"/>
    </row>
    <row r="19" spans="1:2" ht="15.5">
      <c r="B19" s="501"/>
    </row>
  </sheetData>
  <mergeCells count="5">
    <mergeCell ref="A2:D2"/>
    <mergeCell ref="A3:D3"/>
    <mergeCell ref="A4:D4"/>
    <mergeCell ref="A5:D5"/>
    <mergeCell ref="B12:D12"/>
  </mergeCells>
  <pageMargins left="0.7" right="0.7" top="0.75" bottom="0.75" header="0.3" footer="0.3"/>
  <pageSetup scale="85" fitToHeight="0" orientation="portrait" r:id="rId1"/>
  <headerFooter>
    <oddHeader xml:space="preserve">&amp;RAEP - SPP Transco Formula Rate
TCOS - WS B
Page: &amp;P of &amp;N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4"/>
  <sheetViews>
    <sheetView zoomScale="81" zoomScaleNormal="81" zoomScaleSheetLayoutView="93" zoomScalePageLayoutView="80" workbookViewId="0">
      <selection activeCell="E38" sqref="E38"/>
    </sheetView>
  </sheetViews>
  <sheetFormatPr defaultColWidth="9.1796875" defaultRowHeight="12.5"/>
  <cols>
    <col min="1" max="2" width="9.7265625" style="1478" customWidth="1"/>
    <col min="3" max="3" width="50.7265625" style="1479" customWidth="1"/>
    <col min="4" max="10" width="16.7265625" style="1479" customWidth="1"/>
    <col min="11" max="11" width="13.81640625" style="1479" customWidth="1"/>
    <col min="12" max="16384" width="9.1796875" style="1479"/>
  </cols>
  <sheetData>
    <row r="1" spans="1:16" ht="15.5">
      <c r="A1" s="502"/>
    </row>
    <row r="2" spans="1:16" ht="17.5">
      <c r="A2" s="2001" t="str">
        <f>+'SWT TCOS'!F4</f>
        <v xml:space="preserve">AEP West SPP Member Transmission Companies </v>
      </c>
      <c r="B2" s="2001"/>
      <c r="C2" s="2001"/>
      <c r="D2" s="2001"/>
      <c r="E2" s="2001"/>
      <c r="F2" s="2001"/>
      <c r="G2" s="2001"/>
      <c r="H2" s="2001"/>
      <c r="I2" s="2001"/>
      <c r="J2" s="2001"/>
      <c r="K2" s="505"/>
      <c r="L2" s="279"/>
      <c r="M2" s="279"/>
      <c r="N2" s="279"/>
      <c r="O2" s="279"/>
      <c r="P2" s="279"/>
    </row>
    <row r="3" spans="1:16" ht="17.5">
      <c r="A3" s="2089" t="str">
        <f>+'SWT WS A-1 - Plant'!A3</f>
        <v xml:space="preserve">Actual / Projected 2019 Rate Year Cost of Service Formula Rate </v>
      </c>
      <c r="B3" s="2089"/>
      <c r="C3" s="2089"/>
      <c r="D3" s="2089"/>
      <c r="E3" s="2089"/>
      <c r="F3" s="2089"/>
      <c r="G3" s="2089"/>
      <c r="H3" s="2089"/>
      <c r="I3" s="2089"/>
      <c r="J3" s="2089"/>
      <c r="K3" s="505"/>
      <c r="L3" s="279"/>
      <c r="M3" s="279"/>
      <c r="N3" s="279"/>
      <c r="O3" s="279"/>
      <c r="P3" s="279"/>
    </row>
    <row r="4" spans="1:16" ht="18">
      <c r="A4" s="2089" t="s">
        <v>529</v>
      </c>
      <c r="B4" s="2089"/>
      <c r="C4" s="2089"/>
      <c r="D4" s="2089"/>
      <c r="E4" s="2089"/>
      <c r="F4" s="2089"/>
      <c r="G4" s="2089"/>
      <c r="H4" s="2089"/>
      <c r="I4" s="2089"/>
      <c r="J4" s="2089"/>
    </row>
    <row r="5" spans="1:16" ht="18">
      <c r="A5" s="2003" t="str">
        <f>+'SWT TCOS'!F8</f>
        <v>AEP SOUTHWESTERN TRANSMISSION COMPANY</v>
      </c>
      <c r="B5" s="2003"/>
      <c r="C5" s="2003"/>
      <c r="D5" s="2003"/>
      <c r="E5" s="2003"/>
      <c r="F5" s="2003"/>
      <c r="G5" s="2003"/>
      <c r="H5" s="2003"/>
      <c r="I5" s="2003"/>
      <c r="J5" s="2003"/>
    </row>
    <row r="6" spans="1:16" ht="20">
      <c r="B6" s="506"/>
      <c r="C6" s="507"/>
      <c r="D6" s="507"/>
      <c r="E6" s="508"/>
      <c r="F6" s="507"/>
      <c r="G6" s="507"/>
      <c r="H6" s="507"/>
      <c r="I6" s="507"/>
      <c r="J6" s="508"/>
    </row>
    <row r="7" spans="1:16" ht="20">
      <c r="B7" s="506"/>
      <c r="C7" s="508" t="s">
        <v>253</v>
      </c>
      <c r="D7" s="507"/>
      <c r="E7" s="508"/>
      <c r="F7" s="507"/>
      <c r="G7" s="507"/>
      <c r="H7" s="507"/>
      <c r="I7" s="507"/>
      <c r="J7" s="507"/>
    </row>
    <row r="8" spans="1:16" ht="13">
      <c r="C8" s="509"/>
      <c r="G8" s="1478"/>
      <c r="H8" s="1478"/>
      <c r="I8" s="1478"/>
    </row>
    <row r="9" spans="1:16" ht="13">
      <c r="B9" s="510" t="s">
        <v>300</v>
      </c>
      <c r="C9" s="510" t="s">
        <v>301</v>
      </c>
      <c r="D9" s="510" t="s">
        <v>302</v>
      </c>
      <c r="E9" s="510" t="s">
        <v>228</v>
      </c>
      <c r="F9" s="510" t="s">
        <v>229</v>
      </c>
      <c r="G9" s="510" t="s">
        <v>230</v>
      </c>
      <c r="H9" s="510" t="s">
        <v>235</v>
      </c>
      <c r="I9" s="510" t="s">
        <v>176</v>
      </c>
      <c r="J9" s="510" t="s">
        <v>73</v>
      </c>
    </row>
    <row r="10" spans="1:16" ht="13">
      <c r="E10" s="511" t="s">
        <v>253</v>
      </c>
      <c r="F10" s="512" t="s">
        <v>231</v>
      </c>
      <c r="G10" s="510" t="s">
        <v>157</v>
      </c>
      <c r="H10" s="510" t="s">
        <v>74</v>
      </c>
      <c r="I10" s="510" t="s">
        <v>253</v>
      </c>
      <c r="J10" s="510" t="s">
        <v>316</v>
      </c>
    </row>
    <row r="11" spans="1:16" ht="13">
      <c r="A11" s="510" t="s">
        <v>307</v>
      </c>
      <c r="C11" s="513"/>
      <c r="D11" s="510"/>
      <c r="E11" s="510" t="s">
        <v>253</v>
      </c>
      <c r="F11" s="510" t="s">
        <v>254</v>
      </c>
      <c r="G11" s="510" t="s">
        <v>192</v>
      </c>
      <c r="H11" s="510" t="s">
        <v>75</v>
      </c>
      <c r="I11" s="510" t="s">
        <v>299</v>
      </c>
      <c r="J11" s="510" t="s">
        <v>72</v>
      </c>
    </row>
    <row r="12" spans="1:16" ht="13">
      <c r="A12" s="514" t="s">
        <v>256</v>
      </c>
      <c r="B12" s="514" t="s">
        <v>234</v>
      </c>
      <c r="C12" s="514" t="s">
        <v>305</v>
      </c>
      <c r="D12" s="514" t="s">
        <v>232</v>
      </c>
      <c r="E12" s="514" t="s">
        <v>76</v>
      </c>
      <c r="F12" s="514" t="s">
        <v>193</v>
      </c>
      <c r="G12" s="514" t="s">
        <v>193</v>
      </c>
      <c r="H12" s="514" t="s">
        <v>77</v>
      </c>
      <c r="I12" s="514" t="s">
        <v>193</v>
      </c>
      <c r="J12" s="514" t="s">
        <v>78</v>
      </c>
    </row>
    <row r="13" spans="1:16" ht="13">
      <c r="C13" s="509"/>
      <c r="G13" s="1478"/>
      <c r="H13" s="1478"/>
      <c r="I13" s="1478"/>
    </row>
    <row r="14" spans="1:16" ht="12.75" customHeight="1">
      <c r="C14" s="513"/>
      <c r="G14" s="1478"/>
      <c r="H14" s="1478"/>
      <c r="I14" s="1478"/>
    </row>
    <row r="15" spans="1:16" ht="12.75" customHeight="1">
      <c r="B15" s="515" t="s">
        <v>503</v>
      </c>
      <c r="C15" s="513"/>
      <c r="G15" s="1478"/>
      <c r="H15" s="1478"/>
      <c r="I15" s="1478"/>
    </row>
    <row r="16" spans="1:16" ht="12.75" customHeight="1">
      <c r="C16" s="513"/>
      <c r="G16" s="1478"/>
      <c r="H16" s="1478"/>
      <c r="I16" s="1478"/>
    </row>
    <row r="17" spans="1:10" ht="15.5">
      <c r="C17" s="516" t="s">
        <v>505</v>
      </c>
    </row>
    <row r="18" spans="1:10" ht="6" customHeight="1">
      <c r="C18" s="517"/>
    </row>
    <row r="19" spans="1:10" ht="12.75" customHeight="1">
      <c r="A19" s="1478">
        <v>1</v>
      </c>
      <c r="B19" s="1480" t="s">
        <v>81</v>
      </c>
      <c r="C19" s="696" t="str">
        <f>""&amp;'SWT TCOS'!N2&amp;" Year End Tax Deferrals - WS C-1"</f>
        <v>2019 Year End Tax Deferrals - WS C-1</v>
      </c>
      <c r="D19" s="1481">
        <f>+'SWT WS C-1 ADIT EOY'!H18</f>
        <v>168.94</v>
      </c>
      <c r="E19" s="1481">
        <f>+'SWT WS C-1 ADIT EOY'!J18</f>
        <v>125.41200000000001</v>
      </c>
      <c r="F19" s="1481">
        <f>+'SWT WS C-1 ADIT EOY'!K18</f>
        <v>43.527999999999992</v>
      </c>
      <c r="G19" s="1481">
        <f>+'SWT WS C-1 ADIT EOY'!L18</f>
        <v>0</v>
      </c>
      <c r="H19" s="1481">
        <f>+'SWT WS C-1 ADIT EOY'!M18</f>
        <v>0</v>
      </c>
      <c r="I19" s="1481">
        <f>+'SWT WS C-1 ADIT EOY'!N18</f>
        <v>0</v>
      </c>
      <c r="J19" s="1482"/>
    </row>
    <row r="20" spans="1:10" ht="12.75" customHeight="1">
      <c r="A20" s="1478">
        <f>+A19+1</f>
        <v>2</v>
      </c>
      <c r="B20" s="1480" t="s">
        <v>81</v>
      </c>
      <c r="C20" s="696" t="str">
        <f>""&amp;'SWT TCOS'!N2-1&amp;" Year End Tax Deferrals - WS C-2"</f>
        <v>2018 Year End Tax Deferrals - WS C-2</v>
      </c>
      <c r="D20" s="1481">
        <f>+'SWT WS C-2 ADIT BOY'!H18</f>
        <v>247.17000000000004</v>
      </c>
      <c r="E20" s="1481">
        <f>+'SWT WS C-2 ADIT BOY'!J18</f>
        <v>62.816000000000031</v>
      </c>
      <c r="F20" s="1481">
        <f>+'SWT WS C-2 ADIT BOY'!K18</f>
        <v>184.35400000000004</v>
      </c>
      <c r="G20" s="1481">
        <f>+'SWT WS C-2 ADIT BOY'!L18</f>
        <v>0</v>
      </c>
      <c r="H20" s="1481">
        <f>+'SWT WS C-2 ADIT BOY'!M18</f>
        <v>0</v>
      </c>
      <c r="I20" s="1481">
        <f>+'SWT WS C-2 ADIT BOY'!N18</f>
        <v>0</v>
      </c>
      <c r="J20" s="1478"/>
    </row>
    <row r="21" spans="1:10" ht="12.75" customHeight="1">
      <c r="B21" s="522" t="s">
        <v>253</v>
      </c>
      <c r="D21" s="1483"/>
      <c r="E21" s="1484"/>
      <c r="F21" s="1483"/>
      <c r="G21" s="1483" t="s">
        <v>253</v>
      </c>
      <c r="H21" s="1483"/>
      <c r="I21" s="1483"/>
    </row>
    <row r="22" spans="1:10" ht="12.75" customHeight="1">
      <c r="A22" s="1478">
        <f>+A20+1</f>
        <v>3</v>
      </c>
      <c r="C22" s="513" t="s">
        <v>79</v>
      </c>
      <c r="D22" s="1485">
        <f t="shared" ref="D22:I22" si="0">D19+D20</f>
        <v>416.11</v>
      </c>
      <c r="E22" s="1485">
        <f t="shared" si="0"/>
        <v>188.22800000000004</v>
      </c>
      <c r="F22" s="1485">
        <f t="shared" si="0"/>
        <v>227.88200000000003</v>
      </c>
      <c r="G22" s="1485">
        <f t="shared" si="0"/>
        <v>0</v>
      </c>
      <c r="H22" s="1485">
        <f t="shared" si="0"/>
        <v>0</v>
      </c>
      <c r="I22" s="1485">
        <f t="shared" si="0"/>
        <v>0</v>
      </c>
      <c r="J22" s="1486"/>
    </row>
    <row r="23" spans="1:10" ht="12.75" customHeight="1">
      <c r="A23" s="1478">
        <f>+A22+1</f>
        <v>4</v>
      </c>
      <c r="C23" s="513" t="s">
        <v>616</v>
      </c>
      <c r="D23" s="1487">
        <f t="shared" ref="D23:I23" si="1">D22/2</f>
        <v>208.05500000000001</v>
      </c>
      <c r="E23" s="1487">
        <f t="shared" si="1"/>
        <v>94.114000000000019</v>
      </c>
      <c r="F23" s="1487">
        <f t="shared" si="1"/>
        <v>113.94100000000002</v>
      </c>
      <c r="G23" s="1487">
        <f t="shared" si="1"/>
        <v>0</v>
      </c>
      <c r="H23" s="1488">
        <f t="shared" si="1"/>
        <v>0</v>
      </c>
      <c r="I23" s="1485">
        <f t="shared" si="1"/>
        <v>0</v>
      </c>
      <c r="J23" s="1486"/>
    </row>
    <row r="24" spans="1:10" ht="12.75" customHeight="1">
      <c r="A24" s="1478">
        <f>+A23+1</f>
        <v>5</v>
      </c>
      <c r="B24" s="1489"/>
      <c r="C24" s="1490" t="str">
        <f>"Proration Adjustment - WS C-3, Ln "&amp;'SWT WS C-3 ADIT Proration'!A34</f>
        <v>Proration Adjustment - WS C-3, Ln 19</v>
      </c>
      <c r="D24" s="1487"/>
      <c r="E24" s="1487"/>
      <c r="F24" s="1487"/>
      <c r="G24" s="1487">
        <f>'SWT WS C-3 ADIT Proration'!I34</f>
        <v>0</v>
      </c>
      <c r="H24" s="1488"/>
      <c r="I24" s="1491"/>
      <c r="J24" s="1486"/>
    </row>
    <row r="25" spans="1:10" ht="12.75" customHeight="1">
      <c r="A25" s="1478">
        <f>+A24+1</f>
        <v>6</v>
      </c>
      <c r="C25" s="513" t="s">
        <v>525</v>
      </c>
      <c r="D25" s="1492">
        <f t="shared" ref="D25:I25" si="2">+D23+D24</f>
        <v>208.05500000000001</v>
      </c>
      <c r="E25" s="1492">
        <f t="shared" si="2"/>
        <v>94.114000000000019</v>
      </c>
      <c r="F25" s="1492">
        <f t="shared" si="2"/>
        <v>113.94100000000002</v>
      </c>
      <c r="G25" s="1492">
        <f t="shared" si="2"/>
        <v>0</v>
      </c>
      <c r="H25" s="1492">
        <f t="shared" si="2"/>
        <v>0</v>
      </c>
      <c r="I25" s="1492">
        <f t="shared" si="2"/>
        <v>0</v>
      </c>
      <c r="J25" s="1486"/>
    </row>
    <row r="26" spans="1:10" ht="12.75" customHeight="1">
      <c r="A26" s="1478">
        <f>+A25+1</f>
        <v>7</v>
      </c>
      <c r="B26" s="533"/>
      <c r="C26" s="534" t="s">
        <v>617</v>
      </c>
      <c r="D26" s="1493"/>
      <c r="E26" s="536">
        <v>0</v>
      </c>
      <c r="F26" s="536">
        <v>1</v>
      </c>
      <c r="G26" s="536">
        <f>'SWT TCOS'!J63</f>
        <v>1</v>
      </c>
      <c r="H26" s="536">
        <f>'SWT TCOS'!J64</f>
        <v>1</v>
      </c>
      <c r="I26" s="536">
        <f>'SWT TCOS'!L221</f>
        <v>1</v>
      </c>
    </row>
    <row r="27" spans="1:10" ht="12.75" customHeight="1">
      <c r="A27" s="1478">
        <f>+A26+1</f>
        <v>8</v>
      </c>
      <c r="C27" s="513" t="s">
        <v>80</v>
      </c>
      <c r="E27" s="1486">
        <f>E26*E25</f>
        <v>0</v>
      </c>
      <c r="F27" s="1486">
        <f>F26*F25</f>
        <v>113.94100000000002</v>
      </c>
      <c r="G27" s="1486">
        <f>G26*G25</f>
        <v>0</v>
      </c>
      <c r="H27" s="1486">
        <f>H26*H25</f>
        <v>0</v>
      </c>
      <c r="I27" s="1486">
        <f>I26*I25</f>
        <v>0</v>
      </c>
      <c r="J27" s="537">
        <f>SUM(F27:I27)</f>
        <v>113.94100000000002</v>
      </c>
    </row>
    <row r="28" spans="1:10" ht="12.75" customHeight="1">
      <c r="C28" s="517"/>
    </row>
    <row r="29" spans="1:10" ht="12.75" customHeight="1">
      <c r="C29" s="517"/>
    </row>
    <row r="30" spans="1:10" ht="12.75" customHeight="1">
      <c r="C30" s="516" t="s">
        <v>506</v>
      </c>
    </row>
    <row r="31" spans="1:10" ht="6" customHeight="1">
      <c r="C31" s="517"/>
    </row>
    <row r="32" spans="1:10" ht="12.75" customHeight="1">
      <c r="A32" s="1478">
        <f>+A27:B27+1</f>
        <v>9</v>
      </c>
      <c r="B32" s="1480" t="s">
        <v>92</v>
      </c>
      <c r="C32" s="696" t="str">
        <f>+C19</f>
        <v>2019 Year End Tax Deferrals - WS C-1</v>
      </c>
      <c r="D32" s="1481">
        <f>+'SWT WS C-1 ADIT EOY'!H30</f>
        <v>26292.23</v>
      </c>
      <c r="E32" s="1481">
        <f>+'SWT WS C-1 ADIT EOY'!J30</f>
        <v>5246.7919999999986</v>
      </c>
      <c r="F32" s="1481">
        <f>+'SWT WS C-1 ADIT EOY'!K30</f>
        <v>21045.438000000002</v>
      </c>
      <c r="G32" s="1481">
        <f>+'SWT WS C-1 ADIT EOY'!L30</f>
        <v>0</v>
      </c>
      <c r="H32" s="1481">
        <f>+'SWT WS C-1 ADIT EOY'!M30</f>
        <v>0</v>
      </c>
      <c r="I32" s="1481">
        <f>+'SWT WS C-1 ADIT EOY'!N30</f>
        <v>0</v>
      </c>
      <c r="J32" s="1482"/>
    </row>
    <row r="33" spans="1:10" ht="12.75" customHeight="1">
      <c r="A33" s="1478">
        <f>+A32+1</f>
        <v>10</v>
      </c>
      <c r="B33" s="1480" t="s">
        <v>92</v>
      </c>
      <c r="C33" s="696" t="str">
        <f>+C20</f>
        <v>2018 Year End Tax Deferrals - WS C-2</v>
      </c>
      <c r="D33" s="1481">
        <f>+'SWT WS C-2 ADIT BOY'!H30</f>
        <v>16351.33</v>
      </c>
      <c r="E33" s="1481">
        <f>+'SWT WS C-2 ADIT BOY'!J30</f>
        <v>1799.1360000000004</v>
      </c>
      <c r="F33" s="1481">
        <f>+'SWT WS C-2 ADIT BOY'!K30</f>
        <v>14551.864</v>
      </c>
      <c r="G33" s="1481">
        <f>+'SWT WS C-2 ADIT BOY'!L30</f>
        <v>0</v>
      </c>
      <c r="H33" s="1481">
        <f>+'SWT WS C-2 ADIT BOY'!M30</f>
        <v>0</v>
      </c>
      <c r="I33" s="1481">
        <f>+'SWT WS C-2 ADIT BOY'!N30</f>
        <v>0</v>
      </c>
      <c r="J33" s="1478"/>
    </row>
    <row r="34" spans="1:10" ht="12.75" customHeight="1">
      <c r="B34" s="522" t="s">
        <v>253</v>
      </c>
      <c r="D34" s="1483"/>
      <c r="E34" s="1484"/>
      <c r="F34" s="1483"/>
      <c r="G34" s="1483" t="s">
        <v>253</v>
      </c>
      <c r="H34" s="1483"/>
      <c r="I34" s="1483"/>
    </row>
    <row r="35" spans="1:10" ht="12.75" customHeight="1">
      <c r="A35" s="1478">
        <f>+A33+1</f>
        <v>11</v>
      </c>
      <c r="C35" s="513" t="s">
        <v>79</v>
      </c>
      <c r="D35" s="1485">
        <f t="shared" ref="D35:I35" si="3">D32+D33</f>
        <v>42643.56</v>
      </c>
      <c r="E35" s="1485">
        <f t="shared" si="3"/>
        <v>7045.927999999999</v>
      </c>
      <c r="F35" s="1485">
        <f t="shared" si="3"/>
        <v>35597.302000000003</v>
      </c>
      <c r="G35" s="1485">
        <f t="shared" si="3"/>
        <v>0</v>
      </c>
      <c r="H35" s="1485">
        <f t="shared" si="3"/>
        <v>0</v>
      </c>
      <c r="I35" s="1485">
        <f t="shared" si="3"/>
        <v>0</v>
      </c>
      <c r="J35" s="1486"/>
    </row>
    <row r="36" spans="1:10" ht="12.75" customHeight="1">
      <c r="A36" s="1478">
        <f>+A35+1</f>
        <v>12</v>
      </c>
      <c r="C36" s="513" t="s">
        <v>351</v>
      </c>
      <c r="D36" s="1487">
        <f t="shared" ref="D36:I36" si="4">D35/2</f>
        <v>21321.78</v>
      </c>
      <c r="E36" s="1487">
        <f t="shared" si="4"/>
        <v>3522.9639999999995</v>
      </c>
      <c r="F36" s="1487">
        <f t="shared" si="4"/>
        <v>17798.651000000002</v>
      </c>
      <c r="G36" s="1487">
        <f t="shared" si="4"/>
        <v>0</v>
      </c>
      <c r="H36" s="1487">
        <f t="shared" si="4"/>
        <v>0</v>
      </c>
      <c r="I36" s="1487">
        <f t="shared" si="4"/>
        <v>0</v>
      </c>
      <c r="J36" s="1486"/>
    </row>
    <row r="37" spans="1:10" ht="12.75" customHeight="1">
      <c r="A37" s="1478">
        <f>+A36+1</f>
        <v>13</v>
      </c>
      <c r="B37" s="533"/>
      <c r="C37" s="534" t="s">
        <v>618</v>
      </c>
      <c r="D37" s="1493"/>
      <c r="E37" s="536">
        <f>E26</f>
        <v>0</v>
      </c>
      <c r="F37" s="536">
        <f>F26</f>
        <v>1</v>
      </c>
      <c r="G37" s="536">
        <f>G26</f>
        <v>1</v>
      </c>
      <c r="H37" s="536">
        <f>H26</f>
        <v>1</v>
      </c>
      <c r="I37" s="536">
        <f>I26</f>
        <v>1</v>
      </c>
    </row>
    <row r="38" spans="1:10" ht="12.75" customHeight="1">
      <c r="A38" s="1478">
        <f>+A37+1</f>
        <v>14</v>
      </c>
      <c r="C38" s="513" t="s">
        <v>80</v>
      </c>
      <c r="E38" s="1486">
        <f>E36*E37</f>
        <v>0</v>
      </c>
      <c r="F38" s="1486">
        <f>F36*F37</f>
        <v>17798.651000000002</v>
      </c>
      <c r="G38" s="1486">
        <f>G36*G37</f>
        <v>0</v>
      </c>
      <c r="H38" s="1486">
        <f>H36*H37</f>
        <v>0</v>
      </c>
      <c r="I38" s="1486">
        <f>I36*I37</f>
        <v>0</v>
      </c>
      <c r="J38" s="537">
        <f>SUM(F38:I38)</f>
        <v>17798.651000000002</v>
      </c>
    </row>
    <row r="39" spans="1:10" ht="12.75" customHeight="1">
      <c r="C39" s="517"/>
    </row>
    <row r="40" spans="1:10" ht="12.75" customHeight="1">
      <c r="B40" s="538"/>
      <c r="C40" s="539"/>
      <c r="D40" s="539"/>
      <c r="E40" s="539"/>
      <c r="F40" s="539"/>
      <c r="G40" s="539"/>
      <c r="H40" s="539"/>
      <c r="I40" s="539"/>
      <c r="J40" s="539"/>
    </row>
    <row r="41" spans="1:10" ht="12.75" customHeight="1">
      <c r="C41" s="513"/>
      <c r="E41" s="1486"/>
      <c r="F41" s="1486"/>
      <c r="G41" s="1486"/>
      <c r="H41" s="1486"/>
      <c r="I41" s="1486"/>
      <c r="J41" s="1494"/>
    </row>
    <row r="42" spans="1:10" ht="15.5">
      <c r="C42" s="516" t="s">
        <v>504</v>
      </c>
    </row>
    <row r="43" spans="1:10" ht="12.75" customHeight="1">
      <c r="I43" s="541"/>
    </row>
    <row r="44" spans="1:10" ht="12.75" customHeight="1">
      <c r="A44" s="1478">
        <f>+A38+1</f>
        <v>15</v>
      </c>
      <c r="B44" s="1495">
        <v>190.1</v>
      </c>
      <c r="C44" s="696" t="str">
        <f>+C19</f>
        <v>2019 Year End Tax Deferrals - WS C-1</v>
      </c>
      <c r="D44" s="1481">
        <f>+'SWT WS C-1 ADIT EOY'!H47</f>
        <v>9410.9500000000116</v>
      </c>
      <c r="E44" s="1481">
        <f>+'SWT WS C-1 ADIT EOY'!J47</f>
        <v>12644.260000000009</v>
      </c>
      <c r="F44" s="1481">
        <f>+'SWT WS C-1 ADIT EOY'!K47</f>
        <v>-3285.88</v>
      </c>
      <c r="G44" s="1481">
        <f>+'SWT WS C-1 ADIT EOY'!L47</f>
        <v>0</v>
      </c>
      <c r="H44" s="1481">
        <f>+'SWT WS C-1 ADIT EOY'!M47</f>
        <v>0</v>
      </c>
      <c r="I44" s="1481">
        <f>+'SWT WS C-1 ADIT EOY'!N47</f>
        <v>52.57</v>
      </c>
      <c r="J44" s="1482"/>
    </row>
    <row r="45" spans="1:10">
      <c r="A45" s="1478">
        <f>+A44+1</f>
        <v>16</v>
      </c>
      <c r="B45" s="1495">
        <v>190.1</v>
      </c>
      <c r="C45" s="696" t="str">
        <f>+C20</f>
        <v>2018 Year End Tax Deferrals - WS C-2</v>
      </c>
      <c r="D45" s="1481">
        <f>+'SWT WS C-2 ADIT BOY'!H47</f>
        <v>15279.859999999986</v>
      </c>
      <c r="E45" s="1481">
        <f>+'SWT WS C-2 ADIT BOY'!J47</f>
        <v>16421.130000000005</v>
      </c>
      <c r="F45" s="1481">
        <f>+'SWT WS C-2 ADIT BOY'!K47</f>
        <v>-1544.34</v>
      </c>
      <c r="G45" s="1481">
        <f>+'SWT WS C-2 ADIT BOY'!L47</f>
        <v>0</v>
      </c>
      <c r="H45" s="1481">
        <f>+'SWT WS C-2 ADIT BOY'!M47</f>
        <v>0</v>
      </c>
      <c r="I45" s="1481">
        <f>+'SWT WS C-2 ADIT BOY'!N47</f>
        <v>403.07</v>
      </c>
      <c r="J45" s="1478"/>
    </row>
    <row r="46" spans="1:10" ht="13">
      <c r="B46" s="522" t="s">
        <v>253</v>
      </c>
      <c r="D46" s="1483"/>
      <c r="E46" s="1484"/>
      <c r="F46" s="1483"/>
      <c r="G46" s="1483" t="s">
        <v>253</v>
      </c>
      <c r="H46" s="1483"/>
      <c r="I46" s="1483"/>
    </row>
    <row r="47" spans="1:10" ht="13">
      <c r="A47" s="1478">
        <f>+A45+1</f>
        <v>17</v>
      </c>
      <c r="C47" s="513" t="s">
        <v>79</v>
      </c>
      <c r="D47" s="1485">
        <f t="shared" ref="D47:I47" si="5">D44+D45</f>
        <v>24690.809999999998</v>
      </c>
      <c r="E47" s="1485">
        <f t="shared" si="5"/>
        <v>29065.390000000014</v>
      </c>
      <c r="F47" s="1485">
        <f t="shared" si="5"/>
        <v>-4830.22</v>
      </c>
      <c r="G47" s="1485">
        <f t="shared" si="5"/>
        <v>0</v>
      </c>
      <c r="H47" s="1485">
        <f t="shared" si="5"/>
        <v>0</v>
      </c>
      <c r="I47" s="1485">
        <f t="shared" si="5"/>
        <v>455.64</v>
      </c>
      <c r="J47" s="1486"/>
    </row>
    <row r="48" spans="1:10" ht="13">
      <c r="A48" s="1478">
        <f>+A47+1</f>
        <v>18</v>
      </c>
      <c r="C48" s="513" t="s">
        <v>616</v>
      </c>
      <c r="D48" s="1488">
        <f t="shared" ref="D48:I48" si="6">D47/2</f>
        <v>12345.404999999999</v>
      </c>
      <c r="E48" s="1488">
        <f t="shared" si="6"/>
        <v>14532.695000000007</v>
      </c>
      <c r="F48" s="1488">
        <f t="shared" si="6"/>
        <v>-2415.11</v>
      </c>
      <c r="G48" s="1488">
        <f t="shared" si="6"/>
        <v>0</v>
      </c>
      <c r="H48" s="1488">
        <f t="shared" si="6"/>
        <v>0</v>
      </c>
      <c r="I48" s="1488">
        <f t="shared" si="6"/>
        <v>227.82</v>
      </c>
      <c r="J48" s="1486"/>
    </row>
    <row r="49" spans="1:10" ht="13">
      <c r="A49" s="1478">
        <f>+A48+1</f>
        <v>19</v>
      </c>
      <c r="C49" s="1490" t="str">
        <f>"Proration Adjustment - WS C-3, Ln "&amp;'SWT WS C-3 ADIT Proration'!A60</f>
        <v>Proration Adjustment - WS C-3, Ln 38</v>
      </c>
      <c r="D49" s="1487"/>
      <c r="E49" s="1487"/>
      <c r="F49" s="1487">
        <f>+'SWT WS C-3 ADIT Proration'!I60</f>
        <v>0</v>
      </c>
      <c r="G49" s="1487"/>
      <c r="H49" s="1488"/>
      <c r="I49" s="1491"/>
      <c r="J49" s="1486"/>
    </row>
    <row r="50" spans="1:10" ht="13">
      <c r="A50" s="1478">
        <f>+A49+1</f>
        <v>20</v>
      </c>
      <c r="C50" s="513" t="s">
        <v>525</v>
      </c>
      <c r="D50" s="1492">
        <f t="shared" ref="D50:I50" si="7">+D48+D49</f>
        <v>12345.404999999999</v>
      </c>
      <c r="E50" s="1492">
        <f t="shared" si="7"/>
        <v>14532.695000000007</v>
      </c>
      <c r="F50" s="1492">
        <f t="shared" si="7"/>
        <v>-2415.11</v>
      </c>
      <c r="G50" s="1492">
        <f t="shared" si="7"/>
        <v>0</v>
      </c>
      <c r="H50" s="1492">
        <f t="shared" si="7"/>
        <v>0</v>
      </c>
      <c r="I50" s="1492">
        <f t="shared" si="7"/>
        <v>227.82</v>
      </c>
      <c r="J50" s="1486"/>
    </row>
    <row r="51" spans="1:10" ht="12.75" customHeight="1">
      <c r="A51" s="1478">
        <f>+A50+1</f>
        <v>21</v>
      </c>
      <c r="B51" s="533"/>
      <c r="C51" s="534" t="s">
        <v>617</v>
      </c>
      <c r="D51" s="1493"/>
      <c r="E51" s="536">
        <v>0</v>
      </c>
      <c r="F51" s="536">
        <v>1</v>
      </c>
      <c r="G51" s="536">
        <f>G37</f>
        <v>1</v>
      </c>
      <c r="H51" s="536">
        <f>H37</f>
        <v>1</v>
      </c>
      <c r="I51" s="536">
        <f>I37</f>
        <v>1</v>
      </c>
    </row>
    <row r="52" spans="1:10" ht="13">
      <c r="A52" s="1478">
        <f>+A51+1</f>
        <v>22</v>
      </c>
      <c r="C52" s="513" t="s">
        <v>80</v>
      </c>
      <c r="E52" s="1486">
        <f>E51*E50</f>
        <v>0</v>
      </c>
      <c r="F52" s="1486">
        <f>F51*F50</f>
        <v>-2415.11</v>
      </c>
      <c r="G52" s="1486">
        <f>G51*G50</f>
        <v>0</v>
      </c>
      <c r="H52" s="1486">
        <f>H51*H50</f>
        <v>0</v>
      </c>
      <c r="I52" s="1486">
        <f>I51*I50</f>
        <v>227.82</v>
      </c>
      <c r="J52" s="537">
        <f>SUM(F52:I52)</f>
        <v>-2187.29</v>
      </c>
    </row>
    <row r="53" spans="1:10" ht="13">
      <c r="E53" s="1496"/>
      <c r="F53" s="1496"/>
      <c r="G53" s="1496"/>
      <c r="I53" s="541"/>
    </row>
    <row r="54" spans="1:10" ht="13">
      <c r="E54" s="544"/>
      <c r="F54" s="1496"/>
      <c r="G54" s="1999" t="s">
        <v>71</v>
      </c>
      <c r="I54" s="541"/>
      <c r="J54" s="1486" t="s">
        <v>253</v>
      </c>
    </row>
    <row r="55" spans="1:10" ht="15.5">
      <c r="C55" s="516" t="s">
        <v>82</v>
      </c>
      <c r="E55" s="544"/>
      <c r="F55" s="1496"/>
      <c r="G55" s="2090"/>
    </row>
    <row r="56" spans="1:10" ht="6.75" customHeight="1">
      <c r="C56" s="517"/>
      <c r="E56" s="544"/>
      <c r="F56" s="1496"/>
      <c r="G56" s="2090"/>
    </row>
    <row r="57" spans="1:10" ht="15.5">
      <c r="C57" s="545"/>
      <c r="G57" s="2090"/>
    </row>
    <row r="58" spans="1:10">
      <c r="A58" s="1478">
        <f>+A52+1</f>
        <v>23</v>
      </c>
      <c r="B58" s="1497">
        <v>255</v>
      </c>
      <c r="C58" s="1498" t="str">
        <f>"Acc Defrd ITC - Federal - 12/31/"&amp;'SWT TCOS'!N2&amp;" (FF1 p. 267, Ln 2.h)"</f>
        <v>Acc Defrd ITC - Federal - 12/31/2019 (FF1 p. 267, Ln 2.h)</v>
      </c>
      <c r="D58" s="1499"/>
      <c r="E58" s="1481"/>
      <c r="F58" s="1481"/>
      <c r="G58" s="1481">
        <v>0</v>
      </c>
      <c r="H58" s="1481"/>
      <c r="I58" s="1481"/>
      <c r="J58" s="1482"/>
    </row>
    <row r="59" spans="1:10">
      <c r="A59" s="1478">
        <f>+A58+1</f>
        <v>24</v>
      </c>
      <c r="B59" s="1497">
        <v>255</v>
      </c>
      <c r="C59" s="1498" t="str">
        <f>"Acc Defrd ITC - Federal - 12/31/"&amp;'SWT TCOS'!N2-1&amp;" (FF1 p. 266, Ln 2.b)"</f>
        <v>Acc Defrd ITC - Federal - 12/31/2018 (FF1 p. 266, Ln 2.b)</v>
      </c>
      <c r="D59" s="1499"/>
      <c r="E59" s="1481"/>
      <c r="F59" s="1481"/>
      <c r="G59" s="1481">
        <f>D59</f>
        <v>0</v>
      </c>
      <c r="H59" s="1481"/>
      <c r="I59" s="1481"/>
      <c r="J59" s="1478"/>
    </row>
    <row r="60" spans="1:10" ht="13">
      <c r="B60" s="522" t="s">
        <v>253</v>
      </c>
      <c r="D60" s="1483"/>
      <c r="E60" s="1483"/>
      <c r="F60" s="1483"/>
      <c r="G60" s="1483" t="s">
        <v>253</v>
      </c>
      <c r="H60" s="1483"/>
      <c r="I60" s="1483"/>
    </row>
    <row r="61" spans="1:10" ht="13">
      <c r="A61" s="1478">
        <f>+A59+1</f>
        <v>25</v>
      </c>
      <c r="C61" s="513" t="s">
        <v>79</v>
      </c>
      <c r="D61" s="1485">
        <f>D58+D59</f>
        <v>0</v>
      </c>
      <c r="E61" s="1485"/>
      <c r="F61" s="1485"/>
      <c r="G61" s="1485">
        <f>G58+G59</f>
        <v>0</v>
      </c>
      <c r="H61" s="1485"/>
      <c r="I61" s="1485"/>
      <c r="J61" s="1486"/>
    </row>
    <row r="62" spans="1:10" ht="13">
      <c r="A62" s="1478">
        <f>+A61+1</f>
        <v>26</v>
      </c>
      <c r="C62" s="513" t="s">
        <v>351</v>
      </c>
      <c r="D62" s="1487">
        <f>D61/2</f>
        <v>0</v>
      </c>
      <c r="E62" s="1487"/>
      <c r="F62" s="1487"/>
      <c r="G62" s="1487">
        <f>G61/2</f>
        <v>0</v>
      </c>
      <c r="H62" s="1488"/>
      <c r="I62" s="1488"/>
      <c r="J62" s="1486"/>
    </row>
    <row r="63" spans="1:10" ht="12.75" customHeight="1">
      <c r="A63" s="1478">
        <f>+A62+1</f>
        <v>27</v>
      </c>
      <c r="B63" s="533"/>
      <c r="C63" s="534" t="s">
        <v>617</v>
      </c>
      <c r="D63" s="1493"/>
      <c r="E63" s="549"/>
      <c r="F63" s="549"/>
      <c r="G63" s="536">
        <f>G51</f>
        <v>1</v>
      </c>
      <c r="H63" s="549"/>
      <c r="I63" s="549"/>
    </row>
    <row r="64" spans="1:10" ht="13">
      <c r="A64" s="1478">
        <f>+A63+1</f>
        <v>28</v>
      </c>
      <c r="C64" s="513" t="s">
        <v>80</v>
      </c>
      <c r="E64" s="549" t="s">
        <v>16</v>
      </c>
      <c r="F64" s="549" t="s">
        <v>16</v>
      </c>
      <c r="G64" s="1486">
        <f>G63*G62</f>
        <v>0</v>
      </c>
      <c r="H64" s="549" t="s">
        <v>16</v>
      </c>
      <c r="I64" s="549" t="s">
        <v>16</v>
      </c>
      <c r="J64" s="537">
        <f>SUM(F64:I64)</f>
        <v>0</v>
      </c>
    </row>
    <row r="65" spans="2:10" ht="12.75" customHeight="1">
      <c r="C65" s="517"/>
      <c r="E65" s="544"/>
      <c r="F65" s="1496"/>
      <c r="G65" s="544"/>
    </row>
    <row r="66" spans="2:10" ht="12.75" customHeight="1">
      <c r="C66" s="517"/>
      <c r="E66" s="544"/>
      <c r="F66" s="1496"/>
      <c r="G66" s="544"/>
    </row>
    <row r="67" spans="2:10" ht="12.75" customHeight="1">
      <c r="B67" s="328" t="s">
        <v>83</v>
      </c>
      <c r="C67" s="279" t="s">
        <v>84</v>
      </c>
      <c r="D67" s="279"/>
      <c r="E67" s="279"/>
      <c r="F67" s="279"/>
      <c r="G67" s="279"/>
      <c r="H67" s="279"/>
      <c r="I67" s="279"/>
      <c r="J67" s="279"/>
    </row>
    <row r="68" spans="2:10" ht="12.75" customHeight="1">
      <c r="B68" s="328"/>
      <c r="C68" s="279"/>
      <c r="D68" s="279"/>
      <c r="E68" s="279"/>
      <c r="F68" s="279"/>
      <c r="G68" s="279"/>
      <c r="H68" s="279"/>
      <c r="I68" s="279"/>
      <c r="J68" s="279"/>
    </row>
    <row r="69" spans="2:10" ht="12.75" customHeight="1">
      <c r="B69" s="328"/>
      <c r="C69" s="279"/>
      <c r="D69" s="279"/>
      <c r="E69" s="279"/>
      <c r="F69" s="279"/>
      <c r="G69" s="279"/>
      <c r="H69" s="279"/>
      <c r="I69" s="279"/>
      <c r="J69" s="279"/>
    </row>
    <row r="70" spans="2:10" ht="12.75" customHeight="1">
      <c r="B70" s="328"/>
      <c r="C70" s="279"/>
      <c r="D70" s="279"/>
      <c r="E70" s="279"/>
      <c r="F70" s="279"/>
      <c r="G70" s="279"/>
      <c r="H70" s="279"/>
      <c r="I70" s="279"/>
      <c r="J70" s="279"/>
    </row>
    <row r="71" spans="2:10" ht="12.75" customHeight="1">
      <c r="B71" s="328"/>
      <c r="C71" s="279"/>
      <c r="D71" s="279"/>
      <c r="E71" s="279"/>
      <c r="F71" s="279"/>
      <c r="G71" s="279"/>
      <c r="H71" s="279"/>
      <c r="I71" s="279"/>
      <c r="J71" s="279"/>
    </row>
    <row r="72" spans="2:10">
      <c r="B72" s="328"/>
      <c r="C72" s="279"/>
      <c r="D72" s="279"/>
      <c r="E72" s="279"/>
      <c r="F72" s="279"/>
      <c r="G72" s="279"/>
      <c r="H72" s="279"/>
      <c r="I72" s="279"/>
      <c r="J72" s="279"/>
    </row>
    <row r="73" spans="2:10">
      <c r="B73" s="328"/>
      <c r="C73" s="279"/>
      <c r="D73" s="279"/>
      <c r="E73" s="279"/>
      <c r="F73" s="279"/>
      <c r="G73" s="279"/>
      <c r="H73" s="279"/>
      <c r="I73" s="279"/>
      <c r="J73" s="279"/>
    </row>
    <row r="74" spans="2:10">
      <c r="B74" s="328"/>
      <c r="C74" s="279"/>
      <c r="D74" s="279"/>
      <c r="E74" s="279"/>
      <c r="F74" s="279"/>
      <c r="G74" s="279"/>
      <c r="H74" s="279"/>
      <c r="I74" s="279"/>
      <c r="J74" s="279"/>
    </row>
    <row r="75" spans="2:10">
      <c r="B75" s="328"/>
      <c r="C75" s="279"/>
      <c r="D75" s="279"/>
      <c r="E75" s="279"/>
      <c r="F75" s="279"/>
      <c r="G75" s="279"/>
      <c r="H75" s="279"/>
      <c r="I75" s="279"/>
      <c r="J75" s="279"/>
    </row>
    <row r="76" spans="2:10">
      <c r="B76" s="328"/>
      <c r="C76" s="279"/>
      <c r="D76" s="279"/>
      <c r="E76" s="279"/>
      <c r="F76" s="279"/>
      <c r="G76" s="279"/>
      <c r="H76" s="279"/>
      <c r="I76" s="279"/>
      <c r="J76" s="279" t="s">
        <v>253</v>
      </c>
    </row>
    <row r="77" spans="2:10">
      <c r="B77" s="328"/>
      <c r="C77" s="279"/>
      <c r="D77" s="279"/>
      <c r="E77" s="279"/>
      <c r="F77" s="279"/>
      <c r="G77" s="279"/>
      <c r="H77" s="279"/>
      <c r="I77" s="279"/>
      <c r="J77" s="279"/>
    </row>
    <row r="78" spans="2:10">
      <c r="B78" s="328"/>
      <c r="C78" s="279"/>
      <c r="D78" s="279"/>
      <c r="E78" s="279"/>
      <c r="F78" s="279"/>
      <c r="G78" s="279"/>
      <c r="H78" s="279"/>
      <c r="I78" s="279"/>
      <c r="J78" s="279"/>
    </row>
    <row r="79" spans="2:10">
      <c r="B79" s="328"/>
      <c r="C79" s="279"/>
      <c r="D79" s="279"/>
      <c r="E79" s="279"/>
      <c r="F79" s="279"/>
      <c r="G79" s="279"/>
      <c r="H79" s="279"/>
      <c r="I79" s="279"/>
      <c r="J79" s="279"/>
    </row>
    <row r="80" spans="2:10">
      <c r="B80" s="328"/>
      <c r="C80" s="279"/>
      <c r="D80" s="279"/>
      <c r="E80" s="279"/>
      <c r="F80" s="279"/>
      <c r="G80" s="279"/>
      <c r="H80" s="279"/>
      <c r="I80" s="279"/>
      <c r="J80" s="279"/>
    </row>
    <row r="81" spans="2:11">
      <c r="B81" s="328"/>
      <c r="C81" s="279"/>
      <c r="D81" s="279"/>
      <c r="E81" s="279"/>
      <c r="F81" s="279"/>
      <c r="G81" s="279"/>
      <c r="H81" s="279"/>
      <c r="I81" s="279"/>
      <c r="J81" s="279"/>
    </row>
    <row r="82" spans="2:11">
      <c r="B82" s="328"/>
      <c r="C82" s="279"/>
      <c r="D82" s="279"/>
      <c r="E82" s="279"/>
      <c r="F82" s="279"/>
      <c r="G82" s="279"/>
      <c r="H82" s="279"/>
      <c r="I82" s="279"/>
      <c r="J82" s="279"/>
    </row>
    <row r="83" spans="2:11">
      <c r="B83" s="328"/>
      <c r="C83" s="279"/>
      <c r="D83" s="279"/>
      <c r="E83" s="279"/>
      <c r="F83" s="279"/>
      <c r="G83" s="279"/>
      <c r="H83" s="279"/>
      <c r="I83" s="279"/>
      <c r="J83" s="279"/>
    </row>
    <row r="84" spans="2:11">
      <c r="B84" s="328"/>
      <c r="C84" s="279"/>
      <c r="D84" s="279"/>
      <c r="E84" s="279"/>
      <c r="F84" s="279"/>
      <c r="G84" s="279"/>
      <c r="H84" s="279"/>
      <c r="I84" s="279"/>
      <c r="J84" s="279"/>
      <c r="K84" s="279"/>
    </row>
    <row r="85" spans="2:11">
      <c r="B85" s="328"/>
      <c r="C85" s="279"/>
      <c r="D85" s="279"/>
      <c r="E85" s="279"/>
      <c r="F85" s="279"/>
      <c r="G85" s="279"/>
      <c r="H85" s="279"/>
      <c r="I85" s="279"/>
      <c r="J85" s="279"/>
      <c r="K85" s="279"/>
    </row>
    <row r="86" spans="2:11">
      <c r="B86" s="328"/>
      <c r="C86" s="279"/>
      <c r="D86" s="279"/>
      <c r="E86" s="279"/>
      <c r="F86" s="279"/>
      <c r="G86" s="279"/>
      <c r="H86" s="279"/>
      <c r="I86" s="279"/>
      <c r="J86" s="279"/>
      <c r="K86" s="279"/>
    </row>
    <row r="87" spans="2:11">
      <c r="B87" s="328"/>
      <c r="C87" s="279"/>
      <c r="D87" s="279"/>
      <c r="E87" s="279"/>
      <c r="F87" s="279"/>
      <c r="G87" s="279"/>
      <c r="H87" s="279"/>
      <c r="I87" s="279"/>
      <c r="J87" s="279"/>
      <c r="K87" s="279"/>
    </row>
    <row r="88" spans="2:11">
      <c r="B88" s="328"/>
      <c r="C88" s="279"/>
      <c r="D88" s="279"/>
      <c r="E88" s="279"/>
      <c r="F88" s="279"/>
      <c r="G88" s="279"/>
      <c r="H88" s="279"/>
      <c r="I88" s="279"/>
      <c r="J88" s="279"/>
      <c r="K88" s="279"/>
    </row>
    <row r="89" spans="2:11">
      <c r="B89" s="328"/>
      <c r="C89" s="279"/>
      <c r="D89" s="279"/>
      <c r="E89" s="279"/>
      <c r="F89" s="279"/>
      <c r="G89" s="279"/>
      <c r="H89" s="279"/>
      <c r="I89" s="279"/>
      <c r="J89" s="279"/>
      <c r="K89" s="279"/>
    </row>
    <row r="90" spans="2:11">
      <c r="B90" s="328"/>
      <c r="C90" s="279"/>
      <c r="D90" s="279"/>
      <c r="E90" s="279"/>
      <c r="F90" s="279"/>
      <c r="G90" s="279"/>
      <c r="H90" s="279"/>
      <c r="I90" s="279"/>
      <c r="J90" s="279"/>
      <c r="K90" s="279"/>
    </row>
    <row r="91" spans="2:11">
      <c r="B91" s="328"/>
      <c r="C91" s="279"/>
      <c r="D91" s="279"/>
      <c r="E91" s="279"/>
      <c r="F91" s="279"/>
      <c r="G91" s="279"/>
      <c r="H91" s="279"/>
      <c r="I91" s="279"/>
      <c r="J91" s="279"/>
      <c r="K91" s="279"/>
    </row>
    <row r="92" spans="2:11">
      <c r="B92" s="328"/>
      <c r="C92" s="279"/>
      <c r="D92" s="279"/>
      <c r="E92" s="279"/>
      <c r="F92" s="279"/>
      <c r="G92" s="279"/>
      <c r="H92" s="279"/>
      <c r="I92" s="279"/>
      <c r="J92" s="279"/>
      <c r="K92" s="279"/>
    </row>
    <row r="93" spans="2:11">
      <c r="B93" s="328"/>
      <c r="C93" s="279"/>
      <c r="D93" s="279"/>
      <c r="E93" s="279"/>
      <c r="F93" s="279"/>
      <c r="G93" s="279"/>
      <c r="H93" s="279"/>
      <c r="I93" s="279"/>
      <c r="J93" s="279"/>
      <c r="K93" s="279"/>
    </row>
    <row r="94" spans="2:11">
      <c r="B94" s="328"/>
      <c r="C94" s="279"/>
      <c r="D94" s="279"/>
      <c r="E94" s="279"/>
      <c r="F94" s="279"/>
      <c r="G94" s="279"/>
      <c r="H94" s="279"/>
      <c r="I94" s="279"/>
      <c r="J94" s="279"/>
      <c r="K94" s="279"/>
    </row>
    <row r="95" spans="2:11">
      <c r="B95" s="328"/>
      <c r="C95" s="279"/>
      <c r="D95" s="279"/>
      <c r="E95" s="279"/>
      <c r="F95" s="279"/>
      <c r="G95" s="279"/>
      <c r="H95" s="279"/>
      <c r="I95" s="279"/>
      <c r="J95" s="279"/>
      <c r="K95" s="279"/>
    </row>
    <row r="96" spans="2:11">
      <c r="B96" s="328"/>
      <c r="C96" s="279"/>
      <c r="D96" s="279"/>
      <c r="E96" s="279"/>
      <c r="F96" s="279"/>
      <c r="G96" s="279"/>
      <c r="H96" s="279"/>
      <c r="I96" s="279"/>
      <c r="J96" s="279"/>
      <c r="K96" s="279"/>
    </row>
    <row r="97" spans="2:11">
      <c r="B97" s="328"/>
      <c r="C97" s="279"/>
      <c r="D97" s="279"/>
      <c r="E97" s="279"/>
      <c r="F97" s="279"/>
      <c r="G97" s="279"/>
      <c r="H97" s="279"/>
      <c r="I97" s="279"/>
      <c r="J97" s="279"/>
      <c r="K97" s="279"/>
    </row>
    <row r="98" spans="2:11">
      <c r="B98" s="328"/>
      <c r="C98" s="279"/>
      <c r="D98" s="279"/>
      <c r="E98" s="279"/>
      <c r="F98" s="279"/>
      <c r="G98" s="279"/>
      <c r="H98" s="279"/>
      <c r="I98" s="279"/>
      <c r="J98" s="279"/>
      <c r="K98" s="279"/>
    </row>
    <row r="99" spans="2:11">
      <c r="B99" s="328"/>
      <c r="C99" s="279"/>
      <c r="D99" s="279"/>
      <c r="E99" s="279"/>
      <c r="F99" s="279"/>
      <c r="G99" s="279"/>
      <c r="H99" s="279"/>
      <c r="I99" s="279"/>
      <c r="J99" s="279"/>
      <c r="K99" s="279"/>
    </row>
    <row r="100" spans="2:11">
      <c r="B100" s="328"/>
      <c r="C100" s="279"/>
      <c r="D100" s="279"/>
      <c r="E100" s="279"/>
      <c r="F100" s="279"/>
      <c r="G100" s="279"/>
      <c r="H100" s="279"/>
      <c r="I100" s="279"/>
      <c r="J100" s="279"/>
      <c r="K100" s="279"/>
    </row>
    <row r="101" spans="2:11">
      <c r="B101" s="328"/>
      <c r="C101" s="279"/>
      <c r="D101" s="279"/>
      <c r="E101" s="279"/>
      <c r="F101" s="279"/>
      <c r="G101" s="279"/>
      <c r="H101" s="279"/>
      <c r="I101" s="279"/>
      <c r="J101" s="279"/>
      <c r="K101" s="279"/>
    </row>
    <row r="102" spans="2:11">
      <c r="B102" s="328"/>
      <c r="C102" s="279"/>
      <c r="D102" s="279"/>
      <c r="E102" s="279"/>
      <c r="F102" s="279"/>
      <c r="G102" s="279"/>
      <c r="H102" s="279"/>
      <c r="I102" s="279"/>
      <c r="J102" s="279"/>
      <c r="K102" s="279"/>
    </row>
    <row r="103" spans="2:11">
      <c r="B103" s="328"/>
      <c r="C103" s="279"/>
      <c r="D103" s="279"/>
      <c r="E103" s="279"/>
      <c r="F103" s="279"/>
      <c r="G103" s="279"/>
      <c r="H103" s="279"/>
      <c r="I103" s="279"/>
      <c r="J103" s="279"/>
      <c r="K103" s="279"/>
    </row>
    <row r="104" spans="2:11">
      <c r="B104" s="328"/>
      <c r="C104" s="279"/>
      <c r="D104" s="279"/>
      <c r="E104" s="279"/>
      <c r="F104" s="279"/>
      <c r="G104" s="279"/>
      <c r="H104" s="279"/>
      <c r="I104" s="279"/>
      <c r="J104" s="279"/>
      <c r="K104" s="279"/>
    </row>
    <row r="105" spans="2:11">
      <c r="B105" s="328"/>
      <c r="C105" s="279"/>
      <c r="D105" s="279"/>
      <c r="E105" s="279"/>
      <c r="F105" s="279"/>
      <c r="G105" s="279"/>
      <c r="H105" s="279"/>
      <c r="I105" s="279"/>
      <c r="J105" s="279"/>
      <c r="K105" s="279"/>
    </row>
    <row r="106" spans="2:11">
      <c r="B106" s="328"/>
      <c r="C106" s="279"/>
      <c r="D106" s="279"/>
      <c r="E106" s="279"/>
      <c r="F106" s="279"/>
      <c r="G106" s="279"/>
      <c r="H106" s="279"/>
      <c r="I106" s="279"/>
      <c r="J106" s="279"/>
      <c r="K106" s="279"/>
    </row>
    <row r="107" spans="2:11">
      <c r="B107" s="328"/>
      <c r="C107" s="279"/>
      <c r="D107" s="279"/>
      <c r="E107" s="279"/>
      <c r="F107" s="279"/>
      <c r="G107" s="279"/>
      <c r="H107" s="279"/>
      <c r="I107" s="279"/>
      <c r="J107" s="279"/>
      <c r="K107" s="279"/>
    </row>
    <row r="108" spans="2:11">
      <c r="B108" s="328"/>
      <c r="C108" s="279"/>
      <c r="D108" s="279"/>
      <c r="E108" s="279"/>
      <c r="F108" s="279"/>
      <c r="G108" s="279"/>
      <c r="H108" s="279"/>
      <c r="I108" s="279"/>
      <c r="J108" s="279"/>
      <c r="K108" s="279"/>
    </row>
    <row r="109" spans="2:11">
      <c r="B109" s="328"/>
      <c r="C109" s="279"/>
      <c r="D109" s="279"/>
      <c r="E109" s="279"/>
      <c r="F109" s="279"/>
      <c r="G109" s="279"/>
      <c r="H109" s="279"/>
      <c r="I109" s="279"/>
      <c r="J109" s="279"/>
      <c r="K109" s="279"/>
    </row>
    <row r="110" spans="2:11">
      <c r="B110" s="328"/>
      <c r="C110" s="279"/>
      <c r="D110" s="279"/>
      <c r="E110" s="279"/>
      <c r="F110" s="279"/>
      <c r="G110" s="279"/>
      <c r="H110" s="279"/>
      <c r="I110" s="279"/>
      <c r="J110" s="279"/>
      <c r="K110" s="279"/>
    </row>
    <row r="111" spans="2:11">
      <c r="B111" s="328"/>
      <c r="C111" s="279"/>
      <c r="D111" s="279"/>
      <c r="E111" s="279"/>
      <c r="F111" s="279"/>
      <c r="G111" s="279"/>
      <c r="H111" s="279"/>
      <c r="I111" s="279"/>
      <c r="J111" s="279"/>
      <c r="K111" s="279"/>
    </row>
    <row r="112" spans="2:11">
      <c r="B112" s="328"/>
      <c r="C112" s="279"/>
      <c r="D112" s="279"/>
      <c r="E112" s="279"/>
      <c r="F112" s="279"/>
      <c r="G112" s="279"/>
      <c r="H112" s="279"/>
      <c r="I112" s="279"/>
      <c r="J112" s="279"/>
      <c r="K112" s="279"/>
    </row>
    <row r="113" spans="2:11">
      <c r="B113" s="328"/>
      <c r="C113" s="279"/>
      <c r="D113" s="279"/>
      <c r="E113" s="279"/>
      <c r="F113" s="279"/>
      <c r="G113" s="279"/>
      <c r="H113" s="279"/>
      <c r="I113" s="279"/>
      <c r="J113" s="279"/>
      <c r="K113" s="279"/>
    </row>
    <row r="114" spans="2:11">
      <c r="B114" s="328"/>
      <c r="C114" s="279"/>
      <c r="D114" s="279"/>
      <c r="E114" s="279"/>
      <c r="F114" s="279"/>
      <c r="G114" s="279"/>
      <c r="H114" s="279"/>
      <c r="I114" s="279"/>
      <c r="J114" s="279"/>
      <c r="K114" s="279"/>
    </row>
    <row r="115" spans="2:11">
      <c r="B115" s="328"/>
      <c r="C115" s="279"/>
      <c r="D115" s="279"/>
      <c r="E115" s="279"/>
      <c r="F115" s="279"/>
      <c r="G115" s="279"/>
      <c r="H115" s="279"/>
      <c r="I115" s="279"/>
      <c r="J115" s="279"/>
      <c r="K115" s="279"/>
    </row>
    <row r="116" spans="2:11">
      <c r="B116" s="328"/>
      <c r="C116" s="279"/>
      <c r="D116" s="279"/>
      <c r="E116" s="279"/>
      <c r="F116" s="279"/>
      <c r="G116" s="279"/>
      <c r="H116" s="279"/>
      <c r="I116" s="279"/>
      <c r="J116" s="279"/>
      <c r="K116" s="279"/>
    </row>
    <row r="117" spans="2:11">
      <c r="B117" s="328"/>
      <c r="C117" s="279"/>
      <c r="D117" s="279"/>
      <c r="E117" s="279"/>
      <c r="F117" s="279"/>
      <c r="G117" s="279"/>
      <c r="H117" s="279"/>
      <c r="I117" s="279"/>
      <c r="J117" s="279"/>
      <c r="K117" s="279"/>
    </row>
    <row r="118" spans="2:11">
      <c r="B118" s="328"/>
      <c r="C118" s="279"/>
      <c r="D118" s="279"/>
      <c r="E118" s="279"/>
      <c r="F118" s="279"/>
      <c r="G118" s="279"/>
      <c r="H118" s="279"/>
      <c r="I118" s="279"/>
      <c r="J118" s="279"/>
      <c r="K118" s="279"/>
    </row>
    <row r="119" spans="2:11">
      <c r="B119" s="328"/>
      <c r="C119" s="279"/>
      <c r="D119" s="279"/>
      <c r="E119" s="279"/>
      <c r="F119" s="279"/>
      <c r="G119" s="279"/>
      <c r="H119" s="279"/>
      <c r="I119" s="279"/>
      <c r="J119" s="279"/>
      <c r="K119" s="279"/>
    </row>
    <row r="120" spans="2:11">
      <c r="B120" s="328"/>
      <c r="C120" s="279"/>
      <c r="D120" s="279"/>
      <c r="E120" s="279"/>
      <c r="F120" s="279"/>
      <c r="G120" s="279"/>
      <c r="H120" s="279"/>
      <c r="I120" s="279"/>
      <c r="J120" s="279"/>
      <c r="K120" s="279"/>
    </row>
    <row r="121" spans="2:11">
      <c r="B121" s="328"/>
      <c r="C121" s="279"/>
      <c r="D121" s="279"/>
      <c r="E121" s="279"/>
      <c r="F121" s="279"/>
      <c r="G121" s="279"/>
      <c r="H121" s="279"/>
      <c r="I121" s="279"/>
      <c r="J121" s="279"/>
      <c r="K121" s="279"/>
    </row>
    <row r="122" spans="2:11">
      <c r="B122" s="328"/>
      <c r="C122" s="279"/>
      <c r="D122" s="279"/>
      <c r="E122" s="279"/>
      <c r="F122" s="279"/>
      <c r="G122" s="279"/>
      <c r="H122" s="279"/>
      <c r="I122" s="279"/>
      <c r="J122" s="279"/>
      <c r="K122" s="279"/>
    </row>
    <row r="123" spans="2:11">
      <c r="B123" s="328"/>
      <c r="C123" s="279"/>
      <c r="D123" s="279"/>
      <c r="E123" s="279"/>
      <c r="F123" s="279"/>
      <c r="G123" s="279"/>
      <c r="H123" s="279"/>
      <c r="I123" s="279"/>
      <c r="J123" s="279"/>
      <c r="K123" s="279"/>
    </row>
    <row r="124" spans="2:11">
      <c r="B124" s="328"/>
      <c r="C124" s="279"/>
      <c r="D124" s="279"/>
      <c r="E124" s="279"/>
      <c r="F124" s="279"/>
      <c r="G124" s="279"/>
      <c r="H124" s="279"/>
      <c r="I124" s="279"/>
      <c r="J124" s="279"/>
      <c r="K124" s="279"/>
    </row>
    <row r="125" spans="2:11">
      <c r="B125" s="328"/>
      <c r="C125" s="279"/>
      <c r="D125" s="279"/>
      <c r="E125" s="279"/>
      <c r="F125" s="279"/>
      <c r="G125" s="279"/>
      <c r="H125" s="279"/>
      <c r="I125" s="279"/>
      <c r="J125" s="279"/>
      <c r="K125" s="279"/>
    </row>
    <row r="126" spans="2:11">
      <c r="B126" s="328"/>
      <c r="C126" s="279"/>
      <c r="D126" s="279"/>
      <c r="E126" s="279"/>
      <c r="F126" s="279"/>
      <c r="G126" s="279"/>
      <c r="H126" s="279"/>
      <c r="I126" s="279"/>
      <c r="J126" s="279"/>
      <c r="K126" s="279"/>
    </row>
    <row r="127" spans="2:11">
      <c r="B127" s="328"/>
      <c r="C127" s="279"/>
      <c r="D127" s="279"/>
      <c r="E127" s="279"/>
      <c r="F127" s="279"/>
      <c r="G127" s="279"/>
      <c r="H127" s="279"/>
      <c r="I127" s="279"/>
      <c r="J127" s="279"/>
      <c r="K127" s="279"/>
    </row>
    <row r="128" spans="2:11">
      <c r="B128" s="328"/>
      <c r="C128" s="279"/>
      <c r="D128" s="279"/>
      <c r="E128" s="279"/>
      <c r="F128" s="279"/>
      <c r="G128" s="279"/>
      <c r="H128" s="279"/>
      <c r="I128" s="279"/>
      <c r="J128" s="279"/>
      <c r="K128" s="279"/>
    </row>
    <row r="129" spans="2:11">
      <c r="B129" s="328"/>
      <c r="C129" s="279"/>
      <c r="D129" s="279"/>
      <c r="E129" s="279"/>
      <c r="F129" s="279"/>
      <c r="G129" s="279"/>
      <c r="H129" s="279"/>
      <c r="I129" s="279"/>
      <c r="J129" s="279"/>
      <c r="K129" s="279"/>
    </row>
    <row r="130" spans="2:11">
      <c r="B130" s="328"/>
      <c r="C130" s="279"/>
      <c r="D130" s="279"/>
      <c r="E130" s="279"/>
      <c r="F130" s="279"/>
      <c r="G130" s="279"/>
      <c r="H130" s="279"/>
      <c r="I130" s="279"/>
      <c r="J130" s="279"/>
      <c r="K130" s="279"/>
    </row>
    <row r="131" spans="2:11">
      <c r="B131" s="328"/>
      <c r="C131" s="279"/>
      <c r="D131" s="279"/>
      <c r="E131" s="279"/>
      <c r="F131" s="279"/>
      <c r="G131" s="279"/>
      <c r="H131" s="279"/>
      <c r="I131" s="279"/>
      <c r="J131" s="279"/>
      <c r="K131" s="279"/>
    </row>
    <row r="132" spans="2:11">
      <c r="B132" s="328"/>
      <c r="C132" s="279"/>
      <c r="D132" s="279"/>
      <c r="E132" s="279"/>
      <c r="F132" s="279"/>
      <c r="G132" s="279"/>
      <c r="H132" s="279"/>
      <c r="I132" s="279"/>
      <c r="J132" s="279"/>
      <c r="K132" s="279"/>
    </row>
    <row r="133" spans="2:11">
      <c r="B133" s="328"/>
      <c r="C133" s="279"/>
      <c r="D133" s="279"/>
      <c r="E133" s="279"/>
      <c r="F133" s="279"/>
      <c r="G133" s="279"/>
      <c r="H133" s="279"/>
      <c r="I133" s="279"/>
      <c r="J133" s="279"/>
      <c r="K133" s="279"/>
    </row>
    <row r="134" spans="2:11">
      <c r="B134" s="328"/>
      <c r="C134" s="279"/>
      <c r="D134" s="279"/>
      <c r="E134" s="279"/>
      <c r="F134" s="279"/>
      <c r="G134" s="279"/>
      <c r="H134" s="279"/>
      <c r="I134" s="279"/>
      <c r="J134" s="279"/>
      <c r="K134" s="279"/>
    </row>
    <row r="135" spans="2:11">
      <c r="B135" s="328"/>
      <c r="C135" s="279"/>
      <c r="D135" s="279"/>
      <c r="E135" s="279"/>
      <c r="F135" s="279"/>
      <c r="G135" s="279"/>
      <c r="H135" s="279"/>
      <c r="I135" s="279"/>
      <c r="J135" s="279"/>
      <c r="K135" s="279"/>
    </row>
    <row r="136" spans="2:11">
      <c r="B136" s="328"/>
      <c r="C136" s="279"/>
      <c r="D136" s="279"/>
      <c r="E136" s="279"/>
      <c r="F136" s="279"/>
      <c r="G136" s="279"/>
      <c r="H136" s="279"/>
      <c r="I136" s="279"/>
      <c r="J136" s="279"/>
      <c r="K136" s="279"/>
    </row>
    <row r="137" spans="2:11">
      <c r="B137" s="328"/>
      <c r="C137" s="279"/>
      <c r="D137" s="279"/>
      <c r="E137" s="279"/>
      <c r="F137" s="279"/>
      <c r="G137" s="279"/>
      <c r="H137" s="279"/>
      <c r="I137" s="279"/>
      <c r="J137" s="279"/>
      <c r="K137" s="279"/>
    </row>
    <row r="138" spans="2:11">
      <c r="B138" s="328"/>
      <c r="C138" s="279"/>
      <c r="D138" s="279"/>
      <c r="E138" s="279"/>
      <c r="F138" s="279"/>
      <c r="G138" s="279"/>
      <c r="H138" s="279"/>
      <c r="I138" s="279"/>
      <c r="J138" s="279"/>
      <c r="K138" s="279"/>
    </row>
    <row r="139" spans="2:11">
      <c r="B139" s="328"/>
      <c r="C139" s="279"/>
      <c r="D139" s="279"/>
      <c r="E139" s="279"/>
      <c r="F139" s="279"/>
      <c r="G139" s="279"/>
      <c r="H139" s="279"/>
      <c r="I139" s="279"/>
      <c r="J139" s="279"/>
      <c r="K139" s="279"/>
    </row>
    <row r="140" spans="2:11">
      <c r="B140" s="328"/>
      <c r="C140" s="279"/>
      <c r="D140" s="279"/>
      <c r="E140" s="279"/>
      <c r="F140" s="279"/>
      <c r="G140" s="279"/>
      <c r="H140" s="279"/>
      <c r="I140" s="279"/>
      <c r="J140" s="279"/>
      <c r="K140" s="279"/>
    </row>
    <row r="141" spans="2:11">
      <c r="B141" s="328"/>
      <c r="C141" s="279"/>
      <c r="D141" s="279"/>
      <c r="E141" s="279"/>
      <c r="F141" s="279"/>
      <c r="G141" s="279"/>
      <c r="H141" s="279"/>
      <c r="I141" s="279"/>
      <c r="J141" s="279"/>
      <c r="K141" s="279"/>
    </row>
    <row r="142" spans="2:11">
      <c r="B142" s="328"/>
      <c r="C142" s="279"/>
      <c r="D142" s="279"/>
      <c r="E142" s="279"/>
      <c r="F142" s="279"/>
      <c r="G142" s="279"/>
      <c r="H142" s="279"/>
      <c r="I142" s="279"/>
      <c r="J142" s="279"/>
      <c r="K142" s="279"/>
    </row>
    <row r="143" spans="2:11">
      <c r="B143" s="328"/>
      <c r="C143" s="279"/>
      <c r="D143" s="279"/>
      <c r="E143" s="279"/>
      <c r="F143" s="279"/>
      <c r="G143" s="279"/>
      <c r="H143" s="279"/>
      <c r="I143" s="279"/>
      <c r="J143" s="279"/>
      <c r="K143" s="279"/>
    </row>
    <row r="144" spans="2:11">
      <c r="B144" s="328"/>
      <c r="C144" s="279"/>
      <c r="D144" s="279"/>
      <c r="E144" s="279"/>
      <c r="F144" s="279"/>
      <c r="G144" s="279"/>
      <c r="H144" s="279"/>
      <c r="I144" s="279"/>
      <c r="J144" s="279"/>
      <c r="K144" s="279"/>
    </row>
    <row r="145" spans="2:11">
      <c r="B145" s="328"/>
      <c r="C145" s="279"/>
      <c r="D145" s="279"/>
      <c r="E145" s="279"/>
      <c r="F145" s="279"/>
      <c r="G145" s="279"/>
      <c r="H145" s="279"/>
      <c r="I145" s="279"/>
      <c r="J145" s="279"/>
      <c r="K145" s="279"/>
    </row>
    <row r="146" spans="2:11">
      <c r="B146" s="328"/>
      <c r="C146" s="279"/>
      <c r="D146" s="279"/>
      <c r="E146" s="279"/>
      <c r="F146" s="279"/>
      <c r="G146" s="279"/>
      <c r="H146" s="279"/>
      <c r="I146" s="279"/>
      <c r="J146" s="279"/>
      <c r="K146" s="279"/>
    </row>
    <row r="147" spans="2:11">
      <c r="B147" s="328"/>
      <c r="C147" s="279"/>
      <c r="D147" s="279"/>
      <c r="E147" s="279"/>
      <c r="F147" s="279"/>
      <c r="G147" s="279"/>
      <c r="H147" s="279"/>
      <c r="I147" s="279"/>
      <c r="J147" s="279"/>
      <c r="K147" s="279"/>
    </row>
    <row r="148" spans="2:11">
      <c r="B148" s="328"/>
      <c r="C148" s="279"/>
      <c r="D148" s="279"/>
      <c r="E148" s="279"/>
      <c r="F148" s="279"/>
      <c r="G148" s="279"/>
      <c r="H148" s="279"/>
      <c r="I148" s="279"/>
      <c r="J148" s="279"/>
      <c r="K148" s="279"/>
    </row>
    <row r="149" spans="2:11">
      <c r="B149" s="328"/>
      <c r="C149" s="279"/>
      <c r="D149" s="279"/>
      <c r="E149" s="279"/>
      <c r="F149" s="279"/>
      <c r="G149" s="279"/>
      <c r="H149" s="279"/>
      <c r="I149" s="279"/>
      <c r="J149" s="279"/>
      <c r="K149" s="279"/>
    </row>
    <row r="150" spans="2:11">
      <c r="B150" s="328"/>
      <c r="C150" s="279"/>
      <c r="D150" s="279"/>
      <c r="E150" s="279"/>
      <c r="F150" s="279"/>
      <c r="G150" s="279"/>
      <c r="H150" s="279"/>
      <c r="I150" s="279"/>
      <c r="J150" s="279"/>
      <c r="K150" s="279"/>
    </row>
    <row r="151" spans="2:11">
      <c r="B151" s="328"/>
      <c r="C151" s="279"/>
      <c r="D151" s="279"/>
      <c r="E151" s="279"/>
      <c r="F151" s="279"/>
      <c r="G151" s="279"/>
      <c r="H151" s="279"/>
      <c r="I151" s="279"/>
      <c r="J151" s="279"/>
      <c r="K151" s="279"/>
    </row>
    <row r="152" spans="2:11">
      <c r="B152" s="328"/>
      <c r="C152" s="279"/>
      <c r="D152" s="279"/>
      <c r="E152" s="279"/>
      <c r="F152" s="279"/>
      <c r="G152" s="279"/>
      <c r="H152" s="279"/>
      <c r="I152" s="279"/>
      <c r="J152" s="279"/>
      <c r="K152" s="279"/>
    </row>
    <row r="153" spans="2:11">
      <c r="B153" s="328"/>
      <c r="C153" s="279"/>
      <c r="D153" s="279"/>
      <c r="E153" s="279"/>
      <c r="F153" s="279"/>
      <c r="G153" s="279"/>
      <c r="H153" s="279"/>
      <c r="I153" s="279"/>
      <c r="J153" s="279"/>
      <c r="K153" s="279"/>
    </row>
    <row r="154" spans="2:11">
      <c r="B154" s="328"/>
      <c r="C154" s="279"/>
      <c r="D154" s="279"/>
      <c r="E154" s="279"/>
      <c r="F154" s="279"/>
      <c r="G154" s="279"/>
      <c r="H154" s="279"/>
      <c r="I154" s="279"/>
      <c r="J154" s="279"/>
      <c r="K154" s="279"/>
    </row>
    <row r="155" spans="2:11">
      <c r="B155" s="328"/>
      <c r="C155" s="279"/>
      <c r="D155" s="279"/>
      <c r="E155" s="279"/>
      <c r="F155" s="279"/>
      <c r="G155" s="279"/>
      <c r="H155" s="279"/>
      <c r="I155" s="279"/>
      <c r="J155" s="279"/>
      <c r="K155" s="279"/>
    </row>
    <row r="156" spans="2:11">
      <c r="B156" s="328"/>
      <c r="C156" s="279"/>
      <c r="D156" s="279"/>
      <c r="E156" s="279"/>
      <c r="F156" s="279"/>
      <c r="G156" s="279"/>
      <c r="H156" s="279"/>
      <c r="I156" s="279"/>
      <c r="J156" s="279"/>
      <c r="K156" s="279"/>
    </row>
    <row r="157" spans="2:11">
      <c r="B157" s="328"/>
      <c r="C157" s="279"/>
      <c r="D157" s="279"/>
      <c r="E157" s="279"/>
      <c r="F157" s="279"/>
      <c r="G157" s="279"/>
      <c r="H157" s="279"/>
      <c r="I157" s="279"/>
      <c r="J157" s="279"/>
      <c r="K157" s="279"/>
    </row>
    <row r="158" spans="2:11">
      <c r="B158" s="328"/>
      <c r="C158" s="279"/>
      <c r="D158" s="279"/>
      <c r="E158" s="279"/>
      <c r="F158" s="279"/>
      <c r="G158" s="279"/>
      <c r="H158" s="279"/>
      <c r="I158" s="279"/>
      <c r="J158" s="279"/>
      <c r="K158" s="279"/>
    </row>
    <row r="159" spans="2:11">
      <c r="B159" s="328"/>
      <c r="C159" s="279"/>
      <c r="D159" s="279"/>
      <c r="E159" s="279"/>
      <c r="F159" s="279"/>
      <c r="G159" s="279"/>
      <c r="H159" s="279"/>
      <c r="I159" s="279"/>
      <c r="J159" s="279"/>
      <c r="K159" s="279"/>
    </row>
    <row r="160" spans="2:11">
      <c r="B160" s="328"/>
      <c r="C160" s="279"/>
      <c r="D160" s="279"/>
      <c r="E160" s="279"/>
      <c r="F160" s="279"/>
      <c r="G160" s="279"/>
      <c r="H160" s="279"/>
      <c r="I160" s="279"/>
      <c r="J160" s="279"/>
      <c r="K160" s="279"/>
    </row>
    <row r="161" spans="2:11">
      <c r="B161" s="328"/>
      <c r="C161" s="279"/>
      <c r="D161" s="279"/>
      <c r="E161" s="279"/>
      <c r="F161" s="279"/>
      <c r="G161" s="279"/>
      <c r="H161" s="279"/>
      <c r="I161" s="279"/>
      <c r="J161" s="279"/>
      <c r="K161" s="279"/>
    </row>
    <row r="162" spans="2:11">
      <c r="B162" s="328"/>
      <c r="C162" s="279"/>
      <c r="D162" s="279"/>
      <c r="E162" s="279"/>
      <c r="F162" s="279"/>
      <c r="G162" s="279"/>
      <c r="H162" s="279"/>
      <c r="I162" s="279"/>
      <c r="J162" s="279"/>
      <c r="K162" s="279"/>
    </row>
    <row r="163" spans="2:11">
      <c r="B163" s="328"/>
      <c r="C163" s="279"/>
      <c r="D163" s="279"/>
      <c r="E163" s="279"/>
      <c r="F163" s="279"/>
      <c r="G163" s="279"/>
      <c r="H163" s="279"/>
      <c r="I163" s="279"/>
      <c r="J163" s="279"/>
      <c r="K163" s="279"/>
    </row>
    <row r="164" spans="2:11">
      <c r="B164" s="328"/>
      <c r="C164" s="279"/>
      <c r="D164" s="279"/>
      <c r="E164" s="279"/>
      <c r="F164" s="279"/>
      <c r="G164" s="279"/>
      <c r="H164" s="279"/>
      <c r="I164" s="279"/>
      <c r="J164" s="279"/>
      <c r="K164" s="279"/>
    </row>
    <row r="165" spans="2:11">
      <c r="B165" s="328"/>
      <c r="C165" s="279"/>
      <c r="D165" s="279"/>
      <c r="E165" s="279"/>
      <c r="F165" s="279"/>
      <c r="G165" s="279"/>
      <c r="H165" s="279"/>
      <c r="I165" s="279"/>
      <c r="J165" s="279"/>
      <c r="K165" s="279"/>
    </row>
    <row r="166" spans="2:11">
      <c r="B166" s="328"/>
      <c r="C166" s="279"/>
      <c r="D166" s="279"/>
      <c r="E166" s="279"/>
      <c r="F166" s="279"/>
      <c r="G166" s="279"/>
      <c r="H166" s="279"/>
      <c r="I166" s="279"/>
      <c r="J166" s="279"/>
      <c r="K166" s="279"/>
    </row>
    <row r="167" spans="2:11">
      <c r="B167" s="328"/>
      <c r="C167" s="279"/>
      <c r="D167" s="279"/>
      <c r="E167" s="279"/>
      <c r="F167" s="279"/>
      <c r="G167" s="279"/>
      <c r="H167" s="279"/>
      <c r="I167" s="279"/>
      <c r="J167" s="279"/>
      <c r="K167" s="279"/>
    </row>
    <row r="168" spans="2:11">
      <c r="B168" s="328"/>
      <c r="C168" s="279"/>
      <c r="D168" s="279"/>
      <c r="E168" s="279"/>
      <c r="F168" s="279"/>
      <c r="G168" s="279"/>
      <c r="H168" s="279"/>
      <c r="I168" s="279"/>
      <c r="J168" s="279"/>
      <c r="K168" s="279"/>
    </row>
    <row r="169" spans="2:11">
      <c r="B169" s="328"/>
      <c r="C169" s="279"/>
      <c r="D169" s="279"/>
      <c r="E169" s="279"/>
      <c r="F169" s="279"/>
      <c r="G169" s="279"/>
      <c r="H169" s="279"/>
      <c r="I169" s="279"/>
      <c r="J169" s="279"/>
      <c r="K169" s="279"/>
    </row>
    <row r="170" spans="2:11">
      <c r="B170" s="328"/>
      <c r="C170" s="279"/>
      <c r="D170" s="279"/>
      <c r="E170" s="279"/>
      <c r="F170" s="279"/>
      <c r="G170" s="279"/>
      <c r="H170" s="279"/>
      <c r="I170" s="279"/>
      <c r="J170" s="279"/>
      <c r="K170" s="279"/>
    </row>
    <row r="171" spans="2:11">
      <c r="B171" s="328"/>
      <c r="C171" s="279"/>
      <c r="D171" s="279"/>
      <c r="E171" s="279"/>
      <c r="F171" s="279"/>
      <c r="G171" s="279"/>
      <c r="H171" s="279"/>
      <c r="I171" s="279"/>
      <c r="J171" s="279"/>
      <c r="K171" s="279"/>
    </row>
    <row r="172" spans="2:11">
      <c r="B172" s="328"/>
      <c r="C172" s="279"/>
      <c r="D172" s="279"/>
      <c r="E172" s="279"/>
      <c r="F172" s="279"/>
      <c r="G172" s="279"/>
      <c r="H172" s="279"/>
      <c r="I172" s="279"/>
      <c r="J172" s="279"/>
      <c r="K172" s="279"/>
    </row>
    <row r="173" spans="2:11">
      <c r="B173" s="328"/>
      <c r="C173" s="279"/>
      <c r="D173" s="279"/>
      <c r="E173" s="279"/>
      <c r="F173" s="279"/>
      <c r="G173" s="279"/>
      <c r="H173" s="279"/>
      <c r="I173" s="279"/>
      <c r="J173" s="279"/>
      <c r="K173" s="279"/>
    </row>
    <row r="174" spans="2:11">
      <c r="B174" s="328"/>
      <c r="C174" s="279"/>
      <c r="D174" s="279"/>
      <c r="E174" s="279"/>
      <c r="F174" s="279"/>
      <c r="G174" s="279"/>
      <c r="H174" s="279"/>
      <c r="I174" s="279"/>
      <c r="J174" s="279"/>
      <c r="K174" s="279"/>
    </row>
    <row r="175" spans="2:11">
      <c r="B175" s="328"/>
      <c r="C175" s="279"/>
      <c r="D175" s="279"/>
      <c r="E175" s="279"/>
      <c r="F175" s="279"/>
      <c r="G175" s="279"/>
      <c r="H175" s="279"/>
      <c r="I175" s="279"/>
      <c r="J175" s="279"/>
      <c r="K175" s="279"/>
    </row>
    <row r="176" spans="2:11">
      <c r="B176" s="328"/>
      <c r="C176" s="279"/>
      <c r="D176" s="279"/>
      <c r="E176" s="279"/>
      <c r="F176" s="279"/>
      <c r="G176" s="279"/>
      <c r="H176" s="279"/>
      <c r="I176" s="279"/>
      <c r="J176" s="279"/>
      <c r="K176" s="279"/>
    </row>
    <row r="177" spans="2:11">
      <c r="B177" s="328"/>
      <c r="C177" s="279"/>
      <c r="D177" s="279"/>
      <c r="E177" s="279"/>
      <c r="F177" s="279"/>
      <c r="G177" s="279"/>
      <c r="H177" s="279"/>
      <c r="I177" s="279"/>
      <c r="J177" s="279"/>
      <c r="K177" s="279"/>
    </row>
    <row r="178" spans="2:11">
      <c r="B178" s="328"/>
      <c r="C178" s="279"/>
      <c r="D178" s="279"/>
      <c r="E178" s="279"/>
      <c r="F178" s="279"/>
      <c r="G178" s="279"/>
      <c r="H178" s="279"/>
      <c r="I178" s="279"/>
      <c r="J178" s="279"/>
      <c r="K178" s="279"/>
    </row>
    <row r="179" spans="2:11">
      <c r="B179" s="328"/>
      <c r="C179" s="279"/>
      <c r="D179" s="279"/>
      <c r="E179" s="279"/>
      <c r="F179" s="279"/>
      <c r="G179" s="279"/>
      <c r="H179" s="279"/>
      <c r="I179" s="279"/>
      <c r="J179" s="279"/>
      <c r="K179" s="279"/>
    </row>
    <row r="180" spans="2:11">
      <c r="B180" s="328"/>
      <c r="C180" s="279"/>
      <c r="D180" s="279"/>
      <c r="E180" s="279"/>
      <c r="F180" s="279"/>
      <c r="G180" s="279"/>
      <c r="H180" s="279"/>
      <c r="I180" s="279"/>
      <c r="J180" s="279"/>
      <c r="K180" s="279"/>
    </row>
    <row r="181" spans="2:11">
      <c r="B181" s="328"/>
      <c r="C181" s="279"/>
      <c r="D181" s="279"/>
      <c r="E181" s="279"/>
      <c r="F181" s="279"/>
      <c r="G181" s="279"/>
      <c r="H181" s="279"/>
      <c r="I181" s="279"/>
      <c r="J181" s="279"/>
      <c r="K181" s="279"/>
    </row>
    <row r="182" spans="2:11">
      <c r="B182" s="328"/>
      <c r="C182" s="279"/>
      <c r="D182" s="279"/>
      <c r="E182" s="279"/>
      <c r="F182" s="279"/>
      <c r="G182" s="279"/>
      <c r="H182" s="279"/>
      <c r="I182" s="279"/>
      <c r="J182" s="279"/>
      <c r="K182" s="279"/>
    </row>
    <row r="183" spans="2:11">
      <c r="B183" s="328"/>
      <c r="C183" s="279"/>
      <c r="D183" s="279"/>
      <c r="E183" s="279"/>
      <c r="F183" s="279"/>
      <c r="G183" s="279"/>
      <c r="H183" s="279"/>
      <c r="I183" s="279"/>
      <c r="J183" s="279"/>
      <c r="K183" s="279"/>
    </row>
    <row r="184" spans="2:11">
      <c r="B184" s="328"/>
      <c r="C184" s="279"/>
      <c r="D184" s="279"/>
      <c r="E184" s="279"/>
      <c r="F184" s="279"/>
      <c r="G184" s="279"/>
      <c r="H184" s="279"/>
      <c r="I184" s="279"/>
      <c r="J184" s="279"/>
      <c r="K184" s="279"/>
    </row>
    <row r="185" spans="2:11">
      <c r="B185" s="328"/>
      <c r="C185" s="279"/>
      <c r="D185" s="279"/>
      <c r="E185" s="279"/>
      <c r="F185" s="279"/>
      <c r="G185" s="279"/>
      <c r="H185" s="279"/>
      <c r="I185" s="279"/>
      <c r="J185" s="279"/>
      <c r="K185" s="279"/>
    </row>
    <row r="186" spans="2:11">
      <c r="B186" s="328"/>
      <c r="C186" s="279"/>
      <c r="D186" s="279"/>
      <c r="E186" s="279"/>
      <c r="F186" s="279"/>
      <c r="G186" s="279"/>
      <c r="H186" s="279"/>
      <c r="I186" s="279"/>
      <c r="J186" s="279"/>
      <c r="K186" s="279"/>
    </row>
    <row r="187" spans="2:11">
      <c r="B187" s="328"/>
      <c r="C187" s="279"/>
      <c r="D187" s="279"/>
      <c r="E187" s="279"/>
      <c r="F187" s="279"/>
      <c r="G187" s="279"/>
      <c r="H187" s="279"/>
      <c r="I187" s="279"/>
      <c r="J187" s="279"/>
      <c r="K187" s="279"/>
    </row>
    <row r="188" spans="2:11">
      <c r="B188" s="328"/>
      <c r="C188" s="279"/>
      <c r="D188" s="279"/>
      <c r="E188" s="279"/>
      <c r="F188" s="279"/>
      <c r="G188" s="279"/>
      <c r="H188" s="279"/>
      <c r="I188" s="279"/>
      <c r="J188" s="279"/>
      <c r="K188" s="279"/>
    </row>
    <row r="189" spans="2:11">
      <c r="B189" s="328"/>
      <c r="C189" s="279"/>
      <c r="D189" s="279"/>
      <c r="E189" s="279"/>
      <c r="F189" s="279"/>
      <c r="G189" s="279"/>
      <c r="H189" s="279"/>
      <c r="I189" s="279"/>
      <c r="J189" s="279"/>
      <c r="K189" s="279"/>
    </row>
    <row r="190" spans="2:11">
      <c r="B190" s="328"/>
      <c r="C190" s="279"/>
      <c r="D190" s="279"/>
      <c r="E190" s="279"/>
      <c r="F190" s="279"/>
      <c r="G190" s="279"/>
      <c r="H190" s="279"/>
      <c r="I190" s="279"/>
      <c r="J190" s="279"/>
      <c r="K190" s="279"/>
    </row>
    <row r="191" spans="2:11">
      <c r="B191" s="328"/>
      <c r="C191" s="279"/>
      <c r="D191" s="279"/>
      <c r="E191" s="279"/>
      <c r="F191" s="279"/>
      <c r="G191" s="279"/>
      <c r="H191" s="279"/>
      <c r="I191" s="279"/>
      <c r="J191" s="279"/>
      <c r="K191" s="279"/>
    </row>
    <row r="192" spans="2:11">
      <c r="B192" s="328"/>
      <c r="C192" s="279"/>
      <c r="D192" s="279"/>
      <c r="E192" s="279"/>
      <c r="F192" s="279"/>
      <c r="G192" s="279"/>
      <c r="H192" s="279"/>
      <c r="I192" s="279"/>
      <c r="J192" s="279"/>
      <c r="K192" s="279"/>
    </row>
    <row r="193" spans="2:11">
      <c r="B193" s="328"/>
      <c r="C193" s="279"/>
      <c r="D193" s="279"/>
      <c r="E193" s="279"/>
      <c r="F193" s="279"/>
      <c r="G193" s="279"/>
      <c r="H193" s="279"/>
      <c r="I193" s="279"/>
      <c r="J193" s="279"/>
      <c r="K193" s="279"/>
    </row>
    <row r="194" spans="2:11">
      <c r="B194" s="328"/>
      <c r="C194" s="279"/>
      <c r="D194" s="279"/>
      <c r="E194" s="279"/>
      <c r="F194" s="279"/>
      <c r="G194" s="279"/>
      <c r="H194" s="279"/>
      <c r="I194" s="279"/>
      <c r="J194" s="279"/>
      <c r="K194" s="279"/>
    </row>
    <row r="195" spans="2:11">
      <c r="B195" s="328"/>
      <c r="C195" s="279"/>
      <c r="D195" s="279"/>
      <c r="E195" s="279"/>
      <c r="F195" s="279"/>
      <c r="G195" s="279"/>
      <c r="H195" s="279"/>
      <c r="I195" s="279"/>
      <c r="J195" s="279"/>
      <c r="K195" s="279"/>
    </row>
    <row r="196" spans="2:11">
      <c r="B196" s="328"/>
      <c r="C196" s="279"/>
      <c r="D196" s="279"/>
      <c r="E196" s="279"/>
      <c r="F196" s="279"/>
      <c r="G196" s="279"/>
      <c r="H196" s="279"/>
      <c r="I196" s="279"/>
      <c r="J196" s="279"/>
      <c r="K196" s="279"/>
    </row>
    <row r="197" spans="2:11">
      <c r="B197" s="328"/>
      <c r="C197" s="279"/>
      <c r="D197" s="279"/>
      <c r="E197" s="279"/>
      <c r="F197" s="279"/>
      <c r="G197" s="279"/>
      <c r="H197" s="279"/>
      <c r="I197" s="279"/>
      <c r="J197" s="279"/>
      <c r="K197" s="279"/>
    </row>
    <row r="198" spans="2:11">
      <c r="B198" s="328"/>
      <c r="C198" s="279"/>
      <c r="D198" s="279"/>
      <c r="E198" s="279"/>
      <c r="F198" s="279"/>
      <c r="G198" s="279"/>
      <c r="H198" s="279"/>
      <c r="I198" s="279"/>
      <c r="J198" s="279"/>
      <c r="K198" s="279"/>
    </row>
    <row r="199" spans="2:11">
      <c r="B199" s="328"/>
      <c r="C199" s="279"/>
      <c r="D199" s="279"/>
      <c r="E199" s="279"/>
      <c r="F199" s="279"/>
      <c r="G199" s="279"/>
      <c r="H199" s="279"/>
      <c r="I199" s="279"/>
      <c r="J199" s="279"/>
      <c r="K199" s="279"/>
    </row>
    <row r="200" spans="2:11">
      <c r="B200" s="328"/>
      <c r="C200" s="279"/>
      <c r="D200" s="279"/>
      <c r="E200" s="279"/>
      <c r="F200" s="279"/>
      <c r="G200" s="279"/>
      <c r="H200" s="279"/>
      <c r="I200" s="279"/>
      <c r="J200" s="279"/>
      <c r="K200" s="279"/>
    </row>
    <row r="201" spans="2:11">
      <c r="B201" s="328"/>
      <c r="C201" s="279"/>
      <c r="D201" s="279"/>
      <c r="E201" s="279"/>
      <c r="F201" s="279"/>
      <c r="G201" s="279"/>
      <c r="H201" s="279"/>
      <c r="I201" s="279"/>
      <c r="J201" s="279"/>
      <c r="K201" s="279"/>
    </row>
    <row r="202" spans="2:11">
      <c r="B202" s="328"/>
      <c r="C202" s="279"/>
      <c r="D202" s="279"/>
      <c r="E202" s="279"/>
      <c r="F202" s="279"/>
      <c r="G202" s="279"/>
      <c r="H202" s="279"/>
      <c r="I202" s="279"/>
      <c r="J202" s="279"/>
      <c r="K202" s="279"/>
    </row>
    <row r="203" spans="2:11">
      <c r="B203" s="328"/>
      <c r="C203" s="279"/>
      <c r="D203" s="279"/>
      <c r="E203" s="279"/>
      <c r="F203" s="279"/>
      <c r="G203" s="279"/>
      <c r="H203" s="279"/>
      <c r="I203" s="279"/>
      <c r="J203" s="279"/>
      <c r="K203" s="279"/>
    </row>
    <row r="204" spans="2:11">
      <c r="B204" s="328"/>
      <c r="C204" s="279"/>
      <c r="D204" s="279"/>
      <c r="E204" s="279"/>
      <c r="F204" s="279"/>
      <c r="G204" s="279"/>
      <c r="H204" s="279"/>
      <c r="I204" s="279"/>
      <c r="J204" s="279"/>
      <c r="K204" s="279"/>
    </row>
    <row r="205" spans="2:11">
      <c r="B205" s="328"/>
      <c r="C205" s="279"/>
      <c r="D205" s="279"/>
      <c r="E205" s="279"/>
      <c r="F205" s="279"/>
      <c r="G205" s="279"/>
      <c r="H205" s="279"/>
      <c r="I205" s="279"/>
      <c r="J205" s="279"/>
      <c r="K205" s="279"/>
    </row>
    <row r="206" spans="2:11">
      <c r="B206" s="328"/>
      <c r="C206" s="279"/>
      <c r="D206" s="279"/>
      <c r="E206" s="279"/>
      <c r="F206" s="279"/>
      <c r="G206" s="279"/>
      <c r="H206" s="279"/>
      <c r="I206" s="279"/>
      <c r="J206" s="279"/>
      <c r="K206" s="279"/>
    </row>
    <row r="207" spans="2:11">
      <c r="B207" s="328"/>
      <c r="C207" s="279"/>
      <c r="D207" s="279"/>
      <c r="E207" s="279"/>
      <c r="F207" s="279"/>
      <c r="G207" s="279"/>
      <c r="H207" s="279"/>
      <c r="I207" s="279"/>
      <c r="J207" s="279"/>
      <c r="K207" s="279"/>
    </row>
    <row r="208" spans="2:11">
      <c r="B208" s="328"/>
      <c r="C208" s="279"/>
      <c r="D208" s="279"/>
      <c r="E208" s="279"/>
      <c r="F208" s="279"/>
      <c r="G208" s="279"/>
      <c r="H208" s="279"/>
      <c r="I208" s="279"/>
      <c r="J208" s="279"/>
      <c r="K208" s="279"/>
    </row>
    <row r="209" spans="2:11">
      <c r="B209" s="328"/>
      <c r="C209" s="279"/>
      <c r="D209" s="279"/>
      <c r="E209" s="279"/>
      <c r="F209" s="279"/>
      <c r="G209" s="279"/>
      <c r="H209" s="279"/>
      <c r="I209" s="279"/>
      <c r="J209" s="279"/>
      <c r="K209" s="279"/>
    </row>
    <row r="210" spans="2:11">
      <c r="B210" s="328"/>
      <c r="C210" s="279"/>
      <c r="D210" s="279"/>
      <c r="E210" s="279"/>
      <c r="F210" s="279"/>
      <c r="G210" s="279"/>
      <c r="H210" s="279"/>
      <c r="I210" s="279"/>
      <c r="J210" s="279"/>
      <c r="K210" s="279"/>
    </row>
    <row r="211" spans="2:11" ht="14.25" customHeight="1">
      <c r="B211" s="328"/>
      <c r="C211" s="279"/>
      <c r="D211" s="279"/>
      <c r="E211" s="279"/>
      <c r="F211" s="279"/>
      <c r="G211" s="279"/>
      <c r="H211" s="279"/>
      <c r="I211" s="279"/>
      <c r="J211" s="279"/>
      <c r="K211" s="279"/>
    </row>
    <row r="212" spans="2:11" ht="12.75" customHeight="1">
      <c r="B212" s="328"/>
      <c r="C212" s="279"/>
      <c r="D212" s="279"/>
      <c r="E212" s="279"/>
      <c r="F212" s="279"/>
      <c r="G212" s="279"/>
      <c r="H212" s="279"/>
      <c r="I212" s="279"/>
      <c r="J212" s="279"/>
      <c r="K212" s="279"/>
    </row>
    <row r="213" spans="2:11" ht="12.75" customHeight="1">
      <c r="B213" s="328"/>
      <c r="C213" s="279"/>
      <c r="D213" s="279"/>
      <c r="E213" s="279"/>
      <c r="F213" s="279"/>
      <c r="G213" s="279"/>
      <c r="H213" s="279"/>
      <c r="I213" s="279"/>
      <c r="J213" s="279"/>
      <c r="K213" s="279"/>
    </row>
    <row r="214" spans="2:11" ht="12.75" customHeight="1">
      <c r="B214" s="328"/>
      <c r="C214" s="279"/>
      <c r="D214" s="279"/>
      <c r="E214" s="279"/>
      <c r="F214" s="279"/>
      <c r="G214" s="279"/>
      <c r="H214" s="279"/>
      <c r="I214" s="279"/>
      <c r="J214" s="279"/>
      <c r="K214" s="279"/>
    </row>
    <row r="215" spans="2:11" ht="12.75" customHeight="1">
      <c r="B215" s="328"/>
      <c r="C215" s="279"/>
      <c r="D215" s="279"/>
      <c r="E215" s="279"/>
      <c r="F215" s="279"/>
      <c r="G215" s="279"/>
      <c r="H215" s="279"/>
      <c r="I215" s="279"/>
      <c r="J215" s="279"/>
      <c r="K215" s="279"/>
    </row>
    <row r="216" spans="2:11" ht="12.75" customHeight="1">
      <c r="B216" s="328"/>
      <c r="C216" s="279"/>
      <c r="D216" s="279"/>
      <c r="E216" s="279"/>
      <c r="F216" s="279"/>
      <c r="G216" s="279"/>
      <c r="H216" s="279"/>
      <c r="I216" s="279"/>
      <c r="J216" s="279"/>
      <c r="K216" s="279"/>
    </row>
    <row r="217" spans="2:11" ht="12.75" customHeight="1">
      <c r="B217" s="328"/>
      <c r="C217" s="279"/>
      <c r="D217" s="279"/>
      <c r="E217" s="279"/>
      <c r="F217" s="279"/>
      <c r="G217" s="279"/>
      <c r="H217" s="279"/>
      <c r="I217" s="279"/>
      <c r="J217" s="279"/>
      <c r="K217" s="279"/>
    </row>
    <row r="218" spans="2:11" ht="12.75" customHeight="1">
      <c r="B218" s="328"/>
      <c r="C218" s="279"/>
      <c r="D218" s="279"/>
      <c r="E218" s="279"/>
      <c r="F218" s="279"/>
      <c r="G218" s="279"/>
      <c r="H218" s="279"/>
      <c r="I218" s="279"/>
      <c r="J218" s="279"/>
      <c r="K218" s="279"/>
    </row>
    <row r="219" spans="2:11" ht="12.75" customHeight="1">
      <c r="B219" s="328"/>
      <c r="C219" s="279"/>
      <c r="D219" s="279"/>
      <c r="E219" s="279"/>
      <c r="F219" s="279"/>
      <c r="G219" s="279"/>
      <c r="H219" s="279"/>
      <c r="I219" s="279"/>
      <c r="J219" s="279"/>
      <c r="K219" s="279"/>
    </row>
    <row r="220" spans="2:11" ht="12.75" customHeight="1">
      <c r="B220" s="328"/>
      <c r="C220" s="279"/>
      <c r="D220" s="279"/>
      <c r="E220" s="279"/>
      <c r="F220" s="279"/>
      <c r="G220" s="279"/>
      <c r="H220" s="279"/>
      <c r="I220" s="279"/>
      <c r="J220" s="279"/>
      <c r="K220" s="279"/>
    </row>
    <row r="221" spans="2:11" ht="12.75" customHeight="1">
      <c r="B221" s="328"/>
      <c r="C221" s="279"/>
      <c r="D221" s="279"/>
      <c r="E221" s="279"/>
      <c r="F221" s="279"/>
      <c r="G221" s="279"/>
      <c r="H221" s="279"/>
      <c r="I221" s="279"/>
      <c r="J221" s="279"/>
      <c r="K221" s="279"/>
    </row>
    <row r="222" spans="2:11" ht="12.75" customHeight="1">
      <c r="B222" s="328"/>
      <c r="C222" s="279"/>
      <c r="D222" s="279"/>
      <c r="E222" s="279"/>
      <c r="F222" s="279"/>
      <c r="G222" s="279"/>
      <c r="H222" s="279"/>
      <c r="I222" s="279"/>
      <c r="J222" s="279"/>
      <c r="K222" s="279"/>
    </row>
    <row r="223" spans="2:11" ht="12.75" customHeight="1">
      <c r="B223" s="328"/>
      <c r="C223" s="279"/>
      <c r="D223" s="279"/>
      <c r="E223" s="279"/>
      <c r="F223" s="279"/>
      <c r="G223" s="279"/>
      <c r="H223" s="279"/>
      <c r="I223" s="279"/>
      <c r="J223" s="279"/>
      <c r="K223" s="279"/>
    </row>
    <row r="224" spans="2:11" ht="12.75" customHeight="1">
      <c r="B224" s="328"/>
      <c r="C224" s="279"/>
      <c r="D224" s="279"/>
      <c r="E224" s="279"/>
      <c r="F224" s="279"/>
      <c r="G224" s="279"/>
      <c r="H224" s="279"/>
      <c r="I224" s="279"/>
      <c r="J224" s="279"/>
      <c r="K224" s="279"/>
    </row>
    <row r="225" spans="2:11" ht="12.75" customHeight="1">
      <c r="B225" s="328"/>
      <c r="C225" s="279"/>
      <c r="D225" s="279"/>
      <c r="E225" s="279"/>
      <c r="F225" s="279"/>
      <c r="G225" s="279"/>
      <c r="H225" s="279"/>
      <c r="I225" s="279"/>
      <c r="J225" s="279"/>
      <c r="K225" s="279"/>
    </row>
    <row r="226" spans="2:11" ht="12.75" customHeight="1">
      <c r="B226" s="328"/>
      <c r="C226" s="279"/>
      <c r="D226" s="279"/>
      <c r="E226" s="279"/>
      <c r="F226" s="279"/>
      <c r="G226" s="279"/>
      <c r="H226" s="279"/>
      <c r="I226" s="279"/>
      <c r="J226" s="279"/>
      <c r="K226" s="279"/>
    </row>
    <row r="227" spans="2:11">
      <c r="B227" s="328"/>
      <c r="C227" s="279"/>
      <c r="D227" s="279"/>
      <c r="E227" s="279"/>
      <c r="F227" s="279"/>
      <c r="G227" s="279"/>
      <c r="H227" s="279"/>
      <c r="I227" s="279"/>
      <c r="J227" s="279"/>
      <c r="K227" s="279"/>
    </row>
    <row r="228" spans="2:11">
      <c r="B228" s="328"/>
      <c r="C228" s="279"/>
      <c r="D228" s="279"/>
      <c r="E228" s="279"/>
      <c r="F228" s="279"/>
      <c r="G228" s="279"/>
      <c r="H228" s="279"/>
      <c r="I228" s="279"/>
      <c r="J228" s="279"/>
      <c r="K228" s="279"/>
    </row>
    <row r="229" spans="2:11">
      <c r="B229" s="328"/>
      <c r="C229" s="279"/>
      <c r="D229" s="279"/>
      <c r="E229" s="279"/>
      <c r="F229" s="279"/>
      <c r="G229" s="279"/>
      <c r="H229" s="279"/>
      <c r="I229" s="279"/>
      <c r="J229" s="279"/>
      <c r="K229" s="279"/>
    </row>
    <row r="230" spans="2:11">
      <c r="B230" s="328"/>
      <c r="C230" s="279"/>
      <c r="D230" s="279"/>
      <c r="E230" s="279"/>
      <c r="F230" s="279"/>
      <c r="G230" s="279"/>
      <c r="H230" s="279"/>
      <c r="I230" s="279"/>
      <c r="J230" s="279"/>
      <c r="K230" s="279"/>
    </row>
    <row r="231" spans="2:11">
      <c r="B231" s="328"/>
      <c r="C231" s="279"/>
      <c r="D231" s="279"/>
      <c r="E231" s="279"/>
      <c r="F231" s="279"/>
      <c r="G231" s="279"/>
      <c r="H231" s="279"/>
      <c r="I231" s="279"/>
      <c r="J231" s="279"/>
      <c r="K231" s="279"/>
    </row>
    <row r="232" spans="2:11">
      <c r="B232" s="328"/>
      <c r="C232" s="279"/>
      <c r="D232" s="279"/>
      <c r="E232" s="279"/>
      <c r="F232" s="279"/>
      <c r="G232" s="279"/>
      <c r="H232" s="279"/>
      <c r="I232" s="279"/>
      <c r="J232" s="279"/>
      <c r="K232" s="279"/>
    </row>
    <row r="233" spans="2:11">
      <c r="B233" s="328"/>
      <c r="C233" s="279"/>
      <c r="D233" s="279"/>
      <c r="E233" s="279"/>
      <c r="F233" s="279"/>
      <c r="G233" s="279"/>
      <c r="H233" s="279"/>
      <c r="I233" s="279"/>
      <c r="J233" s="279"/>
      <c r="K233" s="279"/>
    </row>
    <row r="234" spans="2:11">
      <c r="B234" s="328"/>
      <c r="C234" s="279"/>
      <c r="D234" s="279"/>
      <c r="E234" s="279"/>
      <c r="F234" s="279"/>
      <c r="G234" s="279"/>
      <c r="H234" s="279"/>
      <c r="I234" s="279"/>
      <c r="J234" s="279"/>
      <c r="K234" s="279"/>
    </row>
    <row r="235" spans="2:11">
      <c r="B235" s="328"/>
      <c r="C235" s="279"/>
      <c r="D235" s="279"/>
      <c r="E235" s="279"/>
      <c r="F235" s="279"/>
      <c r="G235" s="279"/>
      <c r="H235" s="279"/>
      <c r="I235" s="279"/>
      <c r="J235" s="279"/>
      <c r="K235" s="279"/>
    </row>
    <row r="236" spans="2:11">
      <c r="B236" s="328"/>
      <c r="C236" s="279"/>
      <c r="D236" s="279"/>
      <c r="E236" s="279"/>
      <c r="F236" s="279"/>
      <c r="G236" s="279"/>
      <c r="H236" s="279"/>
      <c r="I236" s="279"/>
      <c r="J236" s="279"/>
      <c r="K236" s="279"/>
    </row>
    <row r="237" spans="2:11">
      <c r="B237" s="328"/>
      <c r="C237" s="279"/>
      <c r="D237" s="279"/>
      <c r="E237" s="279"/>
      <c r="F237" s="279"/>
      <c r="G237" s="279"/>
      <c r="H237" s="279"/>
      <c r="I237" s="279"/>
      <c r="J237" s="279"/>
      <c r="K237" s="279"/>
    </row>
    <row r="238" spans="2:11">
      <c r="B238" s="328"/>
      <c r="C238" s="279"/>
      <c r="D238" s="279"/>
      <c r="E238" s="279"/>
      <c r="F238" s="279"/>
      <c r="G238" s="279"/>
      <c r="H238" s="279"/>
      <c r="I238" s="279"/>
      <c r="J238" s="279"/>
      <c r="K238" s="279"/>
    </row>
    <row r="239" spans="2:11">
      <c r="B239" s="328"/>
      <c r="C239" s="279"/>
      <c r="D239" s="279"/>
      <c r="E239" s="279"/>
      <c r="F239" s="279"/>
      <c r="G239" s="279"/>
      <c r="H239" s="279"/>
      <c r="I239" s="279"/>
      <c r="J239" s="279"/>
      <c r="K239" s="279"/>
    </row>
    <row r="240" spans="2:11">
      <c r="B240" s="328"/>
      <c r="C240" s="279"/>
      <c r="D240" s="279"/>
      <c r="E240" s="279"/>
      <c r="F240" s="279"/>
      <c r="G240" s="279"/>
      <c r="H240" s="279"/>
      <c r="I240" s="279"/>
      <c r="J240" s="279"/>
      <c r="K240" s="279"/>
    </row>
    <row r="241" spans="2:11">
      <c r="B241" s="328"/>
      <c r="C241" s="279"/>
      <c r="D241" s="279"/>
      <c r="E241" s="279"/>
      <c r="F241" s="279"/>
      <c r="G241" s="279"/>
      <c r="H241" s="279"/>
      <c r="I241" s="279"/>
      <c r="J241" s="279"/>
      <c r="K241" s="279"/>
    </row>
    <row r="242" spans="2:11">
      <c r="B242" s="328"/>
      <c r="C242" s="279"/>
      <c r="D242" s="279"/>
      <c r="E242" s="279"/>
      <c r="F242" s="279"/>
      <c r="G242" s="279"/>
      <c r="H242" s="279"/>
      <c r="I242" s="279"/>
      <c r="J242" s="279"/>
      <c r="K242" s="279"/>
    </row>
    <row r="243" spans="2:11">
      <c r="B243" s="328"/>
      <c r="C243" s="279"/>
      <c r="D243" s="279"/>
      <c r="E243" s="279"/>
      <c r="F243" s="279"/>
      <c r="G243" s="279"/>
      <c r="H243" s="279"/>
      <c r="I243" s="279"/>
      <c r="J243" s="279"/>
      <c r="K243" s="279"/>
    </row>
    <row r="244" spans="2:11">
      <c r="B244" s="328"/>
      <c r="C244" s="279"/>
      <c r="D244" s="279"/>
      <c r="E244" s="279"/>
      <c r="F244" s="279"/>
      <c r="G244" s="279"/>
      <c r="H244" s="279"/>
      <c r="I244" s="279"/>
      <c r="J244" s="279"/>
      <c r="K244" s="279"/>
    </row>
  </sheetData>
  <mergeCells count="5">
    <mergeCell ref="A2:J2"/>
    <mergeCell ref="A3:J3"/>
    <mergeCell ref="A4:J4"/>
    <mergeCell ref="A5:J5"/>
    <mergeCell ref="G54:G57"/>
  </mergeCells>
  <printOptions horizontalCentered="1"/>
  <pageMargins left="0.25" right="0.25" top="1" bottom="1" header="0.65" footer="0.5"/>
  <pageSetup scale="10" orientation="portrait" horizontalDpi="1200" verticalDpi="1200" r:id="rId1"/>
  <headerFooter alignWithMargins="0">
    <oddHeader xml:space="preserve">&amp;R&amp;16AEP - SPP Transco Formula Rate
TCOS - WS C
Page: &amp;P of &amp;N
</oddHeader>
    <oddFooter xml:space="preserve">&amp;C &amp;R </oddFooter>
  </headerFooter>
  <rowBreaks count="1" manualBreakCount="1">
    <brk id="83"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0"/>
  <sheetViews>
    <sheetView topLeftCell="A7" zoomScale="81" zoomScaleNormal="81" zoomScaleSheetLayoutView="100" zoomScalePageLayoutView="80" workbookViewId="0">
      <selection activeCell="K16" sqref="K16"/>
    </sheetView>
  </sheetViews>
  <sheetFormatPr defaultColWidth="8.81640625" defaultRowHeight="12.5"/>
  <cols>
    <col min="1" max="2" width="1.7265625" style="279" customWidth="1"/>
    <col min="3" max="3" width="11.54296875" style="279" customWidth="1"/>
    <col min="4" max="4" width="1.7265625" style="1500" customWidth="1"/>
    <col min="5" max="5" width="11" style="279" customWidth="1"/>
    <col min="6" max="6" width="1.54296875" style="279" customWidth="1"/>
    <col min="7" max="7" width="54.7265625" style="279" customWidth="1"/>
    <col min="8" max="8" width="17.26953125" style="1377" bestFit="1" customWidth="1"/>
    <col min="9" max="9" width="12.453125" style="279" customWidth="1"/>
    <col min="10" max="10" width="13.7265625" style="279" customWidth="1"/>
    <col min="11" max="11" width="14.81640625" style="279" customWidth="1"/>
    <col min="12" max="12" width="14.453125" style="279" customWidth="1"/>
    <col min="13" max="14" width="13.7265625" style="279" customWidth="1"/>
    <col min="15" max="16384" width="8.81640625" style="279"/>
  </cols>
  <sheetData>
    <row r="1" spans="1:24" ht="15.5">
      <c r="A1" s="551"/>
    </row>
    <row r="2" spans="1:24" ht="20">
      <c r="A2" s="554"/>
      <c r="B2" s="555"/>
      <c r="D2" s="279"/>
      <c r="I2" s="1479"/>
      <c r="J2" s="1479"/>
      <c r="K2" s="1479"/>
      <c r="L2" s="1479"/>
      <c r="M2" s="1479"/>
      <c r="N2" s="508"/>
    </row>
    <row r="3" spans="1:24" ht="20.25" customHeight="1">
      <c r="A3" s="508"/>
      <c r="B3" s="507"/>
      <c r="C3" s="2004" t="str">
        <f>+'SWT TCOS'!F4</f>
        <v xml:space="preserve">AEP West SPP Member Transmission Companies </v>
      </c>
      <c r="D3" s="2004"/>
      <c r="E3" s="2004"/>
      <c r="F3" s="2004"/>
      <c r="G3" s="2004"/>
      <c r="H3" s="2004"/>
      <c r="I3" s="2004"/>
      <c r="J3" s="2004"/>
      <c r="K3" s="2004"/>
      <c r="L3" s="2004"/>
      <c r="M3" s="2004"/>
      <c r="N3" s="2004"/>
    </row>
    <row r="4" spans="1:24" ht="20.25" customHeight="1">
      <c r="C4" s="2089" t="str">
        <f>+'SWT TCOS'!F8</f>
        <v>AEP SOUTHWESTERN TRANSMISSION COMPANY</v>
      </c>
      <c r="D4" s="2089"/>
      <c r="E4" s="2089"/>
      <c r="F4" s="2089"/>
      <c r="G4" s="2089"/>
      <c r="H4" s="2089"/>
      <c r="I4" s="2089"/>
      <c r="J4" s="2089"/>
      <c r="K4" s="2089"/>
      <c r="L4" s="2089"/>
      <c r="M4" s="2089"/>
      <c r="N4" s="2089"/>
    </row>
    <row r="5" spans="1:24" ht="22.5" customHeight="1">
      <c r="C5" s="2089" t="s">
        <v>627</v>
      </c>
      <c r="D5" s="2089"/>
      <c r="E5" s="2089"/>
      <c r="F5" s="2089"/>
      <c r="G5" s="2089"/>
      <c r="H5" s="2089"/>
      <c r="I5" s="2089"/>
      <c r="J5" s="2089"/>
      <c r="K5" s="2089"/>
      <c r="L5" s="2089"/>
      <c r="M5" s="2089"/>
      <c r="N5" s="2089"/>
    </row>
    <row r="6" spans="1:24" ht="18" customHeight="1">
      <c r="C6" s="2007" t="str">
        <f>"AS OF DECEMBER 31, "&amp;'SWT TCOS'!N2</f>
        <v>AS OF DECEMBER 31, 2019</v>
      </c>
      <c r="D6" s="2007"/>
      <c r="E6" s="2007"/>
      <c r="F6" s="2007"/>
      <c r="G6" s="2007"/>
      <c r="H6" s="2007"/>
      <c r="I6" s="2007"/>
      <c r="J6" s="2007"/>
      <c r="K6" s="2007"/>
      <c r="L6" s="2007"/>
      <c r="M6" s="2007"/>
      <c r="N6" s="2007"/>
    </row>
    <row r="7" spans="1:24">
      <c r="D7" s="279"/>
    </row>
    <row r="8" spans="1:24">
      <c r="D8" s="279"/>
      <c r="J8" s="2006" t="s">
        <v>151</v>
      </c>
      <c r="K8" s="2006"/>
      <c r="L8" s="2006"/>
      <c r="M8" s="2006"/>
      <c r="N8" s="2006"/>
    </row>
    <row r="9" spans="1:24" ht="26">
      <c r="C9" s="556" t="s">
        <v>389</v>
      </c>
      <c r="D9" s="557"/>
      <c r="E9" s="556" t="s">
        <v>152</v>
      </c>
      <c r="G9" s="556" t="s">
        <v>305</v>
      </c>
      <c r="H9" s="558" t="s">
        <v>315</v>
      </c>
      <c r="I9" s="559" t="s">
        <v>85</v>
      </c>
      <c r="J9" s="559" t="s">
        <v>153</v>
      </c>
      <c r="K9" s="559" t="s">
        <v>154</v>
      </c>
      <c r="L9" s="556" t="s">
        <v>155</v>
      </c>
      <c r="M9" s="556" t="s">
        <v>156</v>
      </c>
      <c r="N9" s="556" t="s">
        <v>299</v>
      </c>
    </row>
    <row r="11" spans="1:24">
      <c r="C11" s="585" t="s">
        <v>586</v>
      </c>
      <c r="D11" s="1501" t="s">
        <v>336</v>
      </c>
      <c r="E11" s="562" t="s">
        <v>656</v>
      </c>
      <c r="F11" s="132"/>
      <c r="G11" s="562" t="s">
        <v>956</v>
      </c>
      <c r="H11" s="1502">
        <v>-156.56</v>
      </c>
      <c r="I11" s="1503" t="s">
        <v>55</v>
      </c>
      <c r="J11" s="1504" t="str">
        <f t="shared" ref="J11" si="0">IF(I11="e",H11," ")</f>
        <v xml:space="preserve"> </v>
      </c>
      <c r="K11" s="1487">
        <f t="shared" ref="K11:K17" si="1">IF($I11="T",$H11," ")</f>
        <v>-156.56</v>
      </c>
      <c r="L11" s="1487" t="str">
        <f t="shared" ref="L11:L17" si="2">IF($I11="PTD",$H11," ")</f>
        <v xml:space="preserve"> </v>
      </c>
      <c r="M11" s="1504" t="str">
        <f t="shared" ref="M11:M17" si="3">IF($I11="T&amp;D",$H11," ")</f>
        <v xml:space="preserve"> </v>
      </c>
      <c r="N11" s="1504" t="str">
        <f t="shared" ref="N11" si="4">IF(I11="Labor",H11," ")</f>
        <v xml:space="preserve"> </v>
      </c>
      <c r="P11" s="132"/>
      <c r="Q11" s="132"/>
      <c r="R11" s="132"/>
      <c r="S11" s="132"/>
      <c r="T11" s="132"/>
      <c r="U11" s="132"/>
      <c r="V11" s="132"/>
      <c r="W11" s="132"/>
      <c r="X11" s="132"/>
    </row>
    <row r="12" spans="1:24">
      <c r="C12" s="585" t="s">
        <v>586</v>
      </c>
      <c r="D12" s="1501" t="s">
        <v>336</v>
      </c>
      <c r="E12" s="562" t="s">
        <v>657</v>
      </c>
      <c r="F12" s="132"/>
      <c r="G12" s="562" t="s">
        <v>957</v>
      </c>
      <c r="H12" s="1502">
        <v>-0.21</v>
      </c>
      <c r="I12" s="1503" t="s">
        <v>55</v>
      </c>
      <c r="J12" s="1504" t="str">
        <f t="shared" ref="J12" si="5">IF(I12="e",H12," ")</f>
        <v xml:space="preserve"> </v>
      </c>
      <c r="K12" s="1487">
        <f t="shared" si="1"/>
        <v>-0.21</v>
      </c>
      <c r="L12" s="1487" t="str">
        <f t="shared" si="2"/>
        <v xml:space="preserve"> </v>
      </c>
      <c r="M12" s="1504" t="str">
        <f t="shared" si="3"/>
        <v xml:space="preserve"> </v>
      </c>
      <c r="N12" s="1504" t="str">
        <f t="shared" ref="N12" si="6">IF(I12="Labor",H12," ")</f>
        <v xml:space="preserve"> </v>
      </c>
      <c r="P12" s="132"/>
      <c r="Q12" s="132"/>
      <c r="R12" s="132"/>
      <c r="S12" s="132"/>
      <c r="T12" s="132"/>
      <c r="U12" s="132"/>
      <c r="V12" s="132"/>
      <c r="W12" s="132"/>
      <c r="X12" s="132"/>
    </row>
    <row r="13" spans="1:24" ht="13">
      <c r="C13" s="585" t="s">
        <v>586</v>
      </c>
      <c r="D13" s="1505"/>
      <c r="E13" s="562" t="s">
        <v>1005</v>
      </c>
      <c r="F13" s="563"/>
      <c r="G13" s="562" t="s">
        <v>1006</v>
      </c>
      <c r="H13" s="1502">
        <v>195.51</v>
      </c>
      <c r="I13" s="565" t="s">
        <v>55</v>
      </c>
      <c r="J13" s="1504" t="str">
        <f t="shared" ref="J13:J17" si="7">IF(I13="e",H13," ")</f>
        <v xml:space="preserve"> </v>
      </c>
      <c r="K13" s="1487">
        <f t="shared" si="1"/>
        <v>195.51</v>
      </c>
      <c r="L13" s="1487" t="str">
        <f t="shared" si="2"/>
        <v xml:space="preserve"> </v>
      </c>
      <c r="M13" s="1504" t="str">
        <f t="shared" si="3"/>
        <v xml:space="preserve"> </v>
      </c>
      <c r="N13" s="1504" t="str">
        <f t="shared" ref="N13:N17" si="8">IF(I13="Labor",H13," ")</f>
        <v xml:space="preserve"> </v>
      </c>
      <c r="O13" s="567"/>
    </row>
    <row r="14" spans="1:24" ht="13">
      <c r="C14" s="585" t="s">
        <v>586</v>
      </c>
      <c r="D14" s="1505"/>
      <c r="E14" s="584" t="s">
        <v>976</v>
      </c>
      <c r="F14" s="563"/>
      <c r="G14" s="562" t="s">
        <v>1007</v>
      </c>
      <c r="H14" s="564">
        <v>-182.78</v>
      </c>
      <c r="I14" s="565" t="s">
        <v>827</v>
      </c>
      <c r="J14" s="564">
        <f>+'SWT WS C-4 Excess FIT'!E43</f>
        <v>0.21999999999999886</v>
      </c>
      <c r="K14" s="564">
        <f>+'SWT WS C-4 Excess FIT'!E42</f>
        <v>-183</v>
      </c>
      <c r="L14" s="1487"/>
      <c r="M14" s="1504"/>
      <c r="N14" s="1504"/>
      <c r="O14" s="567"/>
    </row>
    <row r="15" spans="1:24" ht="13">
      <c r="C15" s="585" t="s">
        <v>586</v>
      </c>
      <c r="D15" s="1505"/>
      <c r="E15" s="584" t="s">
        <v>976</v>
      </c>
      <c r="F15" s="563"/>
      <c r="G15" s="562" t="s">
        <v>1008</v>
      </c>
      <c r="H15" s="564">
        <v>312.98</v>
      </c>
      <c r="I15" s="565" t="s">
        <v>827</v>
      </c>
      <c r="J15" s="564">
        <f>+'SWT WS C-4 Excess FIT'!F27</f>
        <v>125.19200000000001</v>
      </c>
      <c r="K15" s="564">
        <f>+'SWT WS C-4 Excess FIT'!F26</f>
        <v>187.78800000000001</v>
      </c>
      <c r="L15" s="1487"/>
      <c r="M15" s="1504"/>
      <c r="N15" s="1504"/>
      <c r="O15" s="567"/>
    </row>
    <row r="16" spans="1:24" ht="13">
      <c r="C16" s="1506"/>
      <c r="D16" s="1501"/>
      <c r="E16" s="1506"/>
      <c r="G16" s="562"/>
      <c r="H16" s="564"/>
      <c r="I16" s="1503"/>
      <c r="J16" s="564"/>
      <c r="K16" s="564"/>
      <c r="L16" s="564"/>
      <c r="M16" s="564"/>
      <c r="N16" s="564"/>
      <c r="O16" s="567"/>
    </row>
    <row r="17" spans="3:15" ht="13">
      <c r="C17" s="1507"/>
      <c r="D17" s="1508"/>
      <c r="E17" s="1507"/>
      <c r="G17" s="573"/>
      <c r="H17" s="575"/>
      <c r="I17" s="576"/>
      <c r="J17" s="1504" t="str">
        <f t="shared" si="7"/>
        <v xml:space="preserve"> </v>
      </c>
      <c r="K17" s="1487" t="str">
        <f t="shared" si="1"/>
        <v xml:space="preserve"> </v>
      </c>
      <c r="L17" s="1487" t="str">
        <f t="shared" si="2"/>
        <v xml:space="preserve"> </v>
      </c>
      <c r="M17" s="1504" t="str">
        <f t="shared" si="3"/>
        <v xml:space="preserve"> </v>
      </c>
      <c r="N17" s="1504" t="str">
        <f t="shared" si="8"/>
        <v xml:space="preserve"> </v>
      </c>
      <c r="O17" s="567"/>
    </row>
    <row r="18" spans="3:15" ht="13">
      <c r="C18" s="557">
        <v>282.10000000000002</v>
      </c>
      <c r="D18" s="279"/>
      <c r="G18" s="578" t="s">
        <v>158</v>
      </c>
      <c r="H18" s="579">
        <f>SUM(H11:H17)</f>
        <v>168.94</v>
      </c>
      <c r="I18" s="1487"/>
      <c r="J18" s="579">
        <f>SUM(J11:J17)</f>
        <v>125.41200000000001</v>
      </c>
      <c r="K18" s="579">
        <f>SUM(K11:K17)</f>
        <v>43.527999999999992</v>
      </c>
      <c r="L18" s="579">
        <f>SUM(L11:L17)</f>
        <v>0</v>
      </c>
      <c r="M18" s="579">
        <f>SUM(M11:M17)</f>
        <v>0</v>
      </c>
      <c r="N18" s="579">
        <f>SUM(N11:N17)</f>
        <v>0</v>
      </c>
      <c r="O18" s="567"/>
    </row>
    <row r="19" spans="3:15" ht="25.5">
      <c r="G19" s="1509" t="s">
        <v>168</v>
      </c>
      <c r="H19" s="1966">
        <v>169</v>
      </c>
      <c r="I19" s="1487"/>
      <c r="J19" s="1510"/>
      <c r="K19" s="1487"/>
      <c r="L19" s="1487"/>
      <c r="M19" s="1487"/>
      <c r="N19" s="1487"/>
    </row>
    <row r="20" spans="3:15">
      <c r="H20" s="1511"/>
      <c r="I20" s="1487"/>
      <c r="J20" s="1487"/>
      <c r="K20" s="1487"/>
      <c r="L20" s="1487"/>
      <c r="M20" s="1487"/>
      <c r="N20" s="1487"/>
    </row>
    <row r="21" spans="3:15">
      <c r="H21" s="1511"/>
      <c r="I21" s="1487"/>
      <c r="J21" s="1487"/>
      <c r="K21" s="1487"/>
      <c r="L21" s="1487"/>
      <c r="M21" s="1487"/>
      <c r="N21" s="1487"/>
    </row>
    <row r="22" spans="3:15">
      <c r="C22" s="585" t="s">
        <v>587</v>
      </c>
      <c r="D22" s="1512"/>
      <c r="E22" s="584" t="s">
        <v>1091</v>
      </c>
      <c r="F22" s="563"/>
      <c r="G22" s="562" t="s">
        <v>1090</v>
      </c>
      <c r="H22" s="564">
        <v>332.37</v>
      </c>
      <c r="I22" s="565" t="s">
        <v>290</v>
      </c>
      <c r="J22" s="1504">
        <f t="shared" ref="J22:J25" si="9">IF(I22="e",H22," ")</f>
        <v>332.37</v>
      </c>
      <c r="K22" s="1487" t="str">
        <f t="shared" ref="K22:K23" si="10">IF($I22="T",$H22," ")</f>
        <v xml:space="preserve"> </v>
      </c>
      <c r="L22" s="1487" t="str">
        <f t="shared" ref="L22:L28" si="11">IF($I22="PTD",$H22," ")</f>
        <v xml:space="preserve"> </v>
      </c>
      <c r="M22" s="1504" t="str">
        <f t="shared" ref="M22:M28" si="12">IF($I22="T&amp;D",$H22," ")</f>
        <v xml:space="preserve"> </v>
      </c>
      <c r="N22" s="1504" t="str">
        <f t="shared" ref="N22:N23" si="13">IF(I22="Labor",H22," ")</f>
        <v xml:space="preserve"> </v>
      </c>
    </row>
    <row r="23" spans="3:15">
      <c r="C23" s="585" t="s">
        <v>587</v>
      </c>
      <c r="D23" s="1512"/>
      <c r="E23" s="584" t="s">
        <v>663</v>
      </c>
      <c r="F23" s="563"/>
      <c r="G23" s="562" t="s">
        <v>963</v>
      </c>
      <c r="H23" s="564">
        <v>-21169.24</v>
      </c>
      <c r="I23" s="565" t="s">
        <v>290</v>
      </c>
      <c r="J23" s="1504">
        <f t="shared" si="9"/>
        <v>-21169.24</v>
      </c>
      <c r="K23" s="1487" t="str">
        <f t="shared" si="10"/>
        <v xml:space="preserve"> </v>
      </c>
      <c r="L23" s="1487" t="str">
        <f t="shared" si="11"/>
        <v xml:space="preserve"> </v>
      </c>
      <c r="M23" s="1504" t="str">
        <f t="shared" si="12"/>
        <v xml:space="preserve"> </v>
      </c>
      <c r="N23" s="1504" t="str">
        <f t="shared" si="13"/>
        <v xml:space="preserve"> </v>
      </c>
    </row>
    <row r="24" spans="3:15">
      <c r="C24" s="585" t="s">
        <v>587</v>
      </c>
      <c r="D24" s="1512"/>
      <c r="E24" s="584" t="s">
        <v>1092</v>
      </c>
      <c r="F24" s="563"/>
      <c r="G24" s="562" t="s">
        <v>1093</v>
      </c>
      <c r="H24" s="564">
        <v>-3054.5</v>
      </c>
      <c r="I24" s="565" t="s">
        <v>290</v>
      </c>
      <c r="J24" s="1504">
        <f t="shared" si="9"/>
        <v>-3054.5</v>
      </c>
      <c r="K24" s="1487"/>
      <c r="L24" s="1487"/>
      <c r="M24" s="1504"/>
      <c r="N24" s="1504"/>
    </row>
    <row r="25" spans="3:15">
      <c r="C25" s="585" t="s">
        <v>587</v>
      </c>
      <c r="D25" s="1512"/>
      <c r="E25" s="584" t="s">
        <v>978</v>
      </c>
      <c r="F25" s="563"/>
      <c r="G25" s="562" t="s">
        <v>979</v>
      </c>
      <c r="H25" s="564">
        <v>23891.47</v>
      </c>
      <c r="I25" s="565" t="s">
        <v>290</v>
      </c>
      <c r="J25" s="1504">
        <f t="shared" si="9"/>
        <v>23891.47</v>
      </c>
      <c r="K25" s="1487"/>
      <c r="L25" s="1487"/>
      <c r="M25" s="1504"/>
      <c r="N25" s="1504"/>
    </row>
    <row r="26" spans="3:15">
      <c r="C26" s="585">
        <v>2831001</v>
      </c>
      <c r="D26" s="1513"/>
      <c r="E26" s="584" t="s">
        <v>976</v>
      </c>
      <c r="F26" s="132"/>
      <c r="G26" s="562" t="s">
        <v>1008</v>
      </c>
      <c r="H26" s="564">
        <v>10645.09</v>
      </c>
      <c r="I26" s="565" t="s">
        <v>827</v>
      </c>
      <c r="J26" s="564">
        <f>+'SWT WS C-4 Excess FIT'!G27</f>
        <v>5246.692</v>
      </c>
      <c r="K26" s="564">
        <f>+'SWT WS C-4 Excess FIT'!G26</f>
        <v>5398.3980000000001</v>
      </c>
      <c r="L26" s="1487" t="str">
        <f t="shared" si="11"/>
        <v xml:space="preserve"> </v>
      </c>
      <c r="M26" s="1504" t="str">
        <f t="shared" si="12"/>
        <v xml:space="preserve"> </v>
      </c>
      <c r="N26" s="1504" t="str">
        <f t="shared" ref="N26" si="14">IF(I26="Labor",H26," ")</f>
        <v xml:space="preserve"> </v>
      </c>
    </row>
    <row r="27" spans="3:15">
      <c r="C27" s="585"/>
      <c r="D27" s="1513"/>
      <c r="E27" s="584"/>
      <c r="F27" s="132"/>
      <c r="G27" s="562"/>
      <c r="H27" s="564"/>
      <c r="I27" s="565"/>
      <c r="J27" s="564"/>
      <c r="K27" s="564"/>
      <c r="L27" s="1487"/>
      <c r="M27" s="1504"/>
      <c r="N27" s="1504"/>
    </row>
    <row r="28" spans="3:15">
      <c r="C28" s="585">
        <v>2831002</v>
      </c>
      <c r="D28" s="1512"/>
      <c r="E28" s="584" t="s">
        <v>664</v>
      </c>
      <c r="F28" s="563"/>
      <c r="G28" s="562" t="s">
        <v>665</v>
      </c>
      <c r="H28" s="564">
        <v>15647.04</v>
      </c>
      <c r="I28" s="565" t="s">
        <v>55</v>
      </c>
      <c r="J28" s="1504" t="str">
        <f t="shared" ref="J28" si="15">IF(I28="e",H28," ")</f>
        <v xml:space="preserve"> </v>
      </c>
      <c r="K28" s="1487">
        <f t="shared" ref="K28" si="16">IF($I28="T",$H28," ")</f>
        <v>15647.04</v>
      </c>
      <c r="L28" s="1487" t="str">
        <f t="shared" si="11"/>
        <v xml:space="preserve"> </v>
      </c>
      <c r="M28" s="1504" t="str">
        <f t="shared" si="12"/>
        <v xml:space="preserve"> </v>
      </c>
      <c r="N28" s="1504" t="str">
        <f t="shared" ref="N28" si="17">IF(I28="Labor",H28," ")</f>
        <v xml:space="preserve"> </v>
      </c>
    </row>
    <row r="29" spans="3:15">
      <c r="D29" s="279"/>
      <c r="H29" s="1487"/>
      <c r="I29" s="1487"/>
      <c r="J29" s="1511" t="str">
        <f>IF(I29="e",H29," ")</f>
        <v xml:space="preserve"> </v>
      </c>
      <c r="K29" s="1511"/>
      <c r="L29" s="1511" t="str">
        <f>IF($I29="PTD",$H29," ")</f>
        <v xml:space="preserve"> </v>
      </c>
      <c r="M29" s="1511" t="str">
        <f>IF($I29="T&amp;D",$H29," ")</f>
        <v xml:space="preserve"> </v>
      </c>
      <c r="N29" s="1511" t="str">
        <f>IF(I29="Labor",H29," ")</f>
        <v xml:space="preserve"> </v>
      </c>
    </row>
    <row r="30" spans="3:15" ht="13">
      <c r="C30" s="557">
        <v>283.10000000000002</v>
      </c>
      <c r="D30" s="279"/>
      <c r="G30" s="578" t="s">
        <v>158</v>
      </c>
      <c r="H30" s="591">
        <f>SUM(H22:H29)</f>
        <v>26292.23</v>
      </c>
      <c r="I30" s="1487"/>
      <c r="J30" s="591">
        <f>SUM(J22:J29)</f>
        <v>5246.7919999999986</v>
      </c>
      <c r="K30" s="591">
        <f>SUM(K22:K29)</f>
        <v>21045.438000000002</v>
      </c>
      <c r="L30" s="591">
        <f>SUM(L22:L29)</f>
        <v>0</v>
      </c>
      <c r="M30" s="591">
        <f>SUM(M22:M29)</f>
        <v>0</v>
      </c>
      <c r="N30" s="591">
        <f>SUM(N22:N29)</f>
        <v>0</v>
      </c>
      <c r="O30" s="567"/>
    </row>
    <row r="31" spans="3:15" ht="25.5" customHeight="1">
      <c r="C31" s="592"/>
      <c r="D31" s="279"/>
      <c r="G31" s="1509" t="s">
        <v>111</v>
      </c>
      <c r="H31" s="1966">
        <v>26292</v>
      </c>
      <c r="I31" s="1487"/>
      <c r="J31" s="1510"/>
      <c r="K31" s="593"/>
      <c r="L31" s="593"/>
      <c r="M31" s="593"/>
      <c r="N31" s="593"/>
    </row>
    <row r="32" spans="3:15">
      <c r="G32" s="1514"/>
      <c r="H32" s="1515"/>
      <c r="I32" s="1487"/>
      <c r="J32" s="1487"/>
      <c r="K32" s="1487"/>
      <c r="L32" s="1487"/>
      <c r="M32" s="1487"/>
      <c r="N32" s="1487"/>
    </row>
    <row r="33" spans="3:15">
      <c r="H33" s="1511"/>
      <c r="I33" s="1487"/>
      <c r="J33" s="1487"/>
      <c r="K33" s="1487"/>
      <c r="L33" s="1487"/>
      <c r="M33" s="1487"/>
      <c r="N33" s="1487"/>
    </row>
    <row r="34" spans="3:15">
      <c r="C34" s="585" t="s">
        <v>588</v>
      </c>
      <c r="D34" s="1516"/>
      <c r="E34" s="584" t="s">
        <v>980</v>
      </c>
      <c r="F34" s="563"/>
      <c r="G34" s="562" t="s">
        <v>981</v>
      </c>
      <c r="H34" s="564">
        <v>12553.99</v>
      </c>
      <c r="I34" s="565" t="s">
        <v>290</v>
      </c>
      <c r="J34" s="1504">
        <f t="shared" ref="J34:J45" si="18">IF(I34="e",H34," ")</f>
        <v>12553.99</v>
      </c>
      <c r="K34" s="1487" t="str">
        <f t="shared" ref="K34:K45" si="19">IF($I34="T",$H34," ")</f>
        <v xml:space="preserve"> </v>
      </c>
      <c r="L34" s="1487" t="str">
        <f t="shared" ref="L34:L45" si="20">IF($I34="PTD",$H34," ")</f>
        <v xml:space="preserve"> </v>
      </c>
      <c r="M34" s="1504" t="str">
        <f t="shared" ref="M34:M45" si="21">IF($I34="T&amp;D",$H34," ")</f>
        <v xml:space="preserve"> </v>
      </c>
      <c r="N34" s="1504" t="str">
        <f t="shared" ref="N34:N45" si="22">IF(I34="Labor",H34," ")</f>
        <v xml:space="preserve"> </v>
      </c>
    </row>
    <row r="35" spans="3:15">
      <c r="C35" s="585" t="s">
        <v>588</v>
      </c>
      <c r="D35" s="1516"/>
      <c r="E35" s="584" t="s">
        <v>970</v>
      </c>
      <c r="F35" s="563"/>
      <c r="G35" s="562" t="s">
        <v>971</v>
      </c>
      <c r="H35" s="564">
        <v>52.57</v>
      </c>
      <c r="I35" s="565" t="s">
        <v>299</v>
      </c>
      <c r="J35" s="1504" t="str">
        <f>IF(I35="e",H35," ")</f>
        <v xml:space="preserve"> </v>
      </c>
      <c r="K35" s="1487" t="str">
        <f t="shared" si="19"/>
        <v xml:space="preserve"> </v>
      </c>
      <c r="L35" s="1487" t="str">
        <f t="shared" si="20"/>
        <v xml:space="preserve"> </v>
      </c>
      <c r="M35" s="1504" t="str">
        <f t="shared" si="21"/>
        <v xml:space="preserve"> </v>
      </c>
      <c r="N35" s="1504">
        <f>IF(I35="Labor",H35," ")</f>
        <v>52.57</v>
      </c>
    </row>
    <row r="36" spans="3:15">
      <c r="C36" s="585" t="s">
        <v>588</v>
      </c>
      <c r="D36" s="1516"/>
      <c r="E36" s="584" t="s">
        <v>664</v>
      </c>
      <c r="F36" s="563"/>
      <c r="G36" s="562" t="s">
        <v>665</v>
      </c>
      <c r="H36" s="564">
        <v>-3285.88</v>
      </c>
      <c r="I36" s="565" t="s">
        <v>55</v>
      </c>
      <c r="J36" s="1504" t="str">
        <f t="shared" si="18"/>
        <v xml:space="preserve"> </v>
      </c>
      <c r="K36" s="1487">
        <f t="shared" si="19"/>
        <v>-3285.88</v>
      </c>
      <c r="L36" s="1487" t="str">
        <f t="shared" si="20"/>
        <v xml:space="preserve"> </v>
      </c>
      <c r="M36" s="1504" t="str">
        <f t="shared" si="21"/>
        <v xml:space="preserve"> </v>
      </c>
      <c r="N36" s="1504" t="str">
        <f t="shared" si="22"/>
        <v xml:space="preserve"> </v>
      </c>
    </row>
    <row r="37" spans="3:15">
      <c r="C37" s="585" t="s">
        <v>588</v>
      </c>
      <c r="D37" s="1516"/>
      <c r="E37" s="584" t="s">
        <v>972</v>
      </c>
      <c r="F37" s="563"/>
      <c r="G37" s="562" t="s">
        <v>973</v>
      </c>
      <c r="H37" s="564">
        <v>90.75</v>
      </c>
      <c r="I37" s="565" t="s">
        <v>290</v>
      </c>
      <c r="J37" s="1504">
        <f t="shared" si="18"/>
        <v>90.75</v>
      </c>
      <c r="K37" s="1487" t="str">
        <f t="shared" si="19"/>
        <v xml:space="preserve"> </v>
      </c>
      <c r="L37" s="1487" t="str">
        <f t="shared" si="20"/>
        <v xml:space="preserve"> </v>
      </c>
      <c r="M37" s="1504" t="str">
        <f t="shared" si="21"/>
        <v xml:space="preserve"> </v>
      </c>
      <c r="N37" s="1504" t="str">
        <f t="shared" si="22"/>
        <v xml:space="preserve"> </v>
      </c>
    </row>
    <row r="38" spans="3:15">
      <c r="C38" s="585" t="s">
        <v>588</v>
      </c>
      <c r="D38" s="1516"/>
      <c r="E38" s="584" t="s">
        <v>974</v>
      </c>
      <c r="F38" s="563"/>
      <c r="G38" s="562" t="s">
        <v>975</v>
      </c>
      <c r="H38" s="564">
        <v>0</v>
      </c>
      <c r="I38" s="565" t="s">
        <v>290</v>
      </c>
      <c r="J38" s="1504">
        <f t="shared" si="18"/>
        <v>0</v>
      </c>
      <c r="K38" s="1487" t="str">
        <f t="shared" si="19"/>
        <v xml:space="preserve"> </v>
      </c>
      <c r="L38" s="1487" t="str">
        <f t="shared" si="20"/>
        <v xml:space="preserve"> </v>
      </c>
      <c r="M38" s="1504" t="str">
        <f t="shared" si="21"/>
        <v xml:space="preserve"> </v>
      </c>
      <c r="N38" s="1504" t="str">
        <f t="shared" si="22"/>
        <v xml:space="preserve"> </v>
      </c>
    </row>
    <row r="39" spans="3:15">
      <c r="C39" s="585"/>
      <c r="D39" s="1516"/>
      <c r="E39" s="584"/>
      <c r="F39" s="563"/>
      <c r="G39" s="562"/>
      <c r="H39" s="564"/>
      <c r="I39" s="565"/>
      <c r="J39" s="1504" t="str">
        <f t="shared" si="18"/>
        <v xml:space="preserve"> </v>
      </c>
      <c r="K39" s="1487" t="str">
        <f t="shared" si="19"/>
        <v xml:space="preserve"> </v>
      </c>
      <c r="L39" s="1487" t="str">
        <f t="shared" si="20"/>
        <v xml:space="preserve"> </v>
      </c>
      <c r="M39" s="1504" t="str">
        <f t="shared" si="21"/>
        <v xml:space="preserve"> </v>
      </c>
      <c r="N39" s="1504" t="str">
        <f t="shared" si="22"/>
        <v xml:space="preserve"> </v>
      </c>
    </row>
    <row r="40" spans="3:15">
      <c r="C40" s="585"/>
      <c r="D40" s="1516"/>
      <c r="E40" s="584"/>
      <c r="F40" s="563"/>
      <c r="G40" s="562"/>
      <c r="H40" s="564"/>
      <c r="I40" s="565"/>
      <c r="J40" s="1504" t="str">
        <f t="shared" si="18"/>
        <v xml:space="preserve"> </v>
      </c>
      <c r="K40" s="1487" t="str">
        <f t="shared" si="19"/>
        <v xml:space="preserve"> </v>
      </c>
      <c r="L40" s="1487" t="str">
        <f t="shared" si="20"/>
        <v xml:space="preserve"> </v>
      </c>
      <c r="M40" s="1504" t="str">
        <f t="shared" si="21"/>
        <v xml:space="preserve"> </v>
      </c>
      <c r="N40" s="1504" t="str">
        <f t="shared" si="22"/>
        <v xml:space="preserve"> </v>
      </c>
    </row>
    <row r="41" spans="3:15">
      <c r="C41" s="585">
        <v>1901002</v>
      </c>
      <c r="D41" s="1516"/>
      <c r="E41" s="584" t="s">
        <v>1091</v>
      </c>
      <c r="F41" s="563"/>
      <c r="G41" s="562" t="s">
        <v>1090</v>
      </c>
      <c r="H41" s="564">
        <v>-1582.72</v>
      </c>
      <c r="I41" s="565" t="s">
        <v>290</v>
      </c>
      <c r="J41" s="1504">
        <f t="shared" si="18"/>
        <v>-1582.72</v>
      </c>
      <c r="K41" s="1487" t="str">
        <f t="shared" si="19"/>
        <v xml:space="preserve"> </v>
      </c>
      <c r="L41" s="1487" t="str">
        <f t="shared" si="20"/>
        <v xml:space="preserve"> </v>
      </c>
      <c r="M41" s="1504" t="str">
        <f t="shared" si="21"/>
        <v xml:space="preserve"> </v>
      </c>
      <c r="N41" s="1504" t="str">
        <f t="shared" si="22"/>
        <v xml:space="preserve"> </v>
      </c>
    </row>
    <row r="42" spans="3:15">
      <c r="C42" s="585">
        <v>1901002</v>
      </c>
      <c r="D42" s="1516"/>
      <c r="E42" s="584" t="s">
        <v>663</v>
      </c>
      <c r="F42" s="563"/>
      <c r="G42" s="562" t="s">
        <v>963</v>
      </c>
      <c r="H42" s="564">
        <v>100805.94</v>
      </c>
      <c r="I42" s="565" t="s">
        <v>290</v>
      </c>
      <c r="J42" s="1504">
        <f t="shared" si="18"/>
        <v>100805.94</v>
      </c>
      <c r="K42" s="1487" t="str">
        <f t="shared" si="19"/>
        <v xml:space="preserve"> </v>
      </c>
      <c r="L42" s="1487" t="str">
        <f t="shared" si="20"/>
        <v xml:space="preserve"> </v>
      </c>
      <c r="M42" s="1504" t="str">
        <f t="shared" si="21"/>
        <v xml:space="preserve"> </v>
      </c>
      <c r="N42" s="1504" t="str">
        <f t="shared" si="22"/>
        <v xml:space="preserve"> </v>
      </c>
    </row>
    <row r="43" spans="3:15">
      <c r="C43" s="585">
        <v>1901002</v>
      </c>
      <c r="D43" s="1516"/>
      <c r="E43" s="584" t="s">
        <v>1092</v>
      </c>
      <c r="F43" s="563"/>
      <c r="G43" s="562" t="s">
        <v>1093</v>
      </c>
      <c r="H43" s="564">
        <v>14545.24</v>
      </c>
      <c r="I43" s="565" t="s">
        <v>290</v>
      </c>
      <c r="J43" s="1504">
        <f t="shared" si="18"/>
        <v>14545.24</v>
      </c>
      <c r="K43" s="1487" t="str">
        <f t="shared" si="19"/>
        <v xml:space="preserve"> </v>
      </c>
      <c r="L43" s="1487" t="str">
        <f t="shared" si="20"/>
        <v xml:space="preserve"> </v>
      </c>
      <c r="M43" s="1504" t="str">
        <f t="shared" si="21"/>
        <v xml:space="preserve"> </v>
      </c>
      <c r="N43" s="1504" t="str">
        <f t="shared" si="22"/>
        <v xml:space="preserve"> </v>
      </c>
    </row>
    <row r="44" spans="3:15">
      <c r="C44" s="585">
        <v>1901002</v>
      </c>
      <c r="D44" s="1516"/>
      <c r="E44" s="584" t="s">
        <v>978</v>
      </c>
      <c r="F44" s="563"/>
      <c r="G44" s="562" t="s">
        <v>979</v>
      </c>
      <c r="H44" s="564">
        <v>-113768.94</v>
      </c>
      <c r="I44" s="565" t="s">
        <v>290</v>
      </c>
      <c r="J44" s="1504">
        <f t="shared" si="18"/>
        <v>-113768.94</v>
      </c>
      <c r="K44" s="1487" t="str">
        <f t="shared" si="19"/>
        <v xml:space="preserve"> </v>
      </c>
      <c r="L44" s="1487" t="str">
        <f t="shared" si="20"/>
        <v xml:space="preserve"> </v>
      </c>
      <c r="M44" s="1504" t="str">
        <f t="shared" si="21"/>
        <v xml:space="preserve"> </v>
      </c>
      <c r="N44" s="1504" t="str">
        <f t="shared" si="22"/>
        <v xml:space="preserve"> </v>
      </c>
    </row>
    <row r="45" spans="3:15">
      <c r="C45" s="585"/>
      <c r="D45" s="1516"/>
      <c r="E45" s="584"/>
      <c r="F45" s="563"/>
      <c r="G45" s="562"/>
      <c r="H45" s="564"/>
      <c r="I45" s="565"/>
      <c r="J45" s="1504" t="str">
        <f t="shared" si="18"/>
        <v xml:space="preserve"> </v>
      </c>
      <c r="K45" s="1487" t="str">
        <f t="shared" si="19"/>
        <v xml:space="preserve"> </v>
      </c>
      <c r="L45" s="1487" t="str">
        <f t="shared" si="20"/>
        <v xml:space="preserve"> </v>
      </c>
      <c r="M45" s="1504" t="str">
        <f t="shared" si="21"/>
        <v xml:space="preserve"> </v>
      </c>
      <c r="N45" s="1504" t="str">
        <f t="shared" si="22"/>
        <v xml:space="preserve"> </v>
      </c>
    </row>
    <row r="46" spans="3:15">
      <c r="C46" s="1517"/>
      <c r="J46" s="1514"/>
    </row>
    <row r="47" spans="3:15" ht="13">
      <c r="C47" s="557">
        <v>190.1</v>
      </c>
      <c r="D47" s="279"/>
      <c r="G47" s="578" t="s">
        <v>158</v>
      </c>
      <c r="H47" s="591">
        <f>SUM(H34:H46)</f>
        <v>9410.9500000000116</v>
      </c>
      <c r="I47" s="1487"/>
      <c r="J47" s="591">
        <f>SUM(J34:J46)</f>
        <v>12644.260000000009</v>
      </c>
      <c r="K47" s="591">
        <f>SUM(K34:K46)</f>
        <v>-3285.88</v>
      </c>
      <c r="L47" s="591">
        <f>SUM(L34:L46)</f>
        <v>0</v>
      </c>
      <c r="M47" s="591">
        <f>SUM(M34:M46)</f>
        <v>0</v>
      </c>
      <c r="N47" s="591">
        <f>SUM(N34:N46)</f>
        <v>52.57</v>
      </c>
      <c r="O47" s="567"/>
    </row>
    <row r="48" spans="3:15" ht="13">
      <c r="G48" s="1509" t="s">
        <v>127</v>
      </c>
      <c r="H48" s="1966">
        <v>9411</v>
      </c>
      <c r="J48" s="1510"/>
    </row>
    <row r="49" spans="3:14">
      <c r="G49" s="1509"/>
      <c r="H49" s="1518"/>
    </row>
    <row r="50" spans="3:14" ht="33" customHeight="1">
      <c r="C50" s="2091"/>
      <c r="D50" s="2091"/>
      <c r="E50" s="2091"/>
      <c r="F50" s="2091"/>
      <c r="G50" s="2091"/>
      <c r="H50" s="2091"/>
      <c r="I50" s="2091"/>
      <c r="J50" s="2091"/>
      <c r="K50" s="2091"/>
      <c r="L50" s="2091"/>
      <c r="M50" s="2091"/>
      <c r="N50" s="2091"/>
    </row>
    <row r="63" spans="3:14">
      <c r="C63" s="272"/>
      <c r="D63" s="1519"/>
      <c r="E63" s="272"/>
      <c r="G63" s="272"/>
      <c r="H63" s="1409"/>
    </row>
    <row r="99" spans="3:6">
      <c r="C99" s="272"/>
      <c r="D99" s="272"/>
      <c r="E99" s="272"/>
      <c r="F99" s="1500"/>
    </row>
    <row r="100" spans="3:6">
      <c r="C100" s="272"/>
      <c r="D100" s="272"/>
      <c r="E100" s="272"/>
    </row>
    <row r="101" spans="3:6">
      <c r="C101" s="272"/>
      <c r="D101" s="272"/>
      <c r="E101" s="272"/>
    </row>
    <row r="102" spans="3:6">
      <c r="C102" s="272"/>
      <c r="D102" s="272"/>
      <c r="E102" s="272"/>
    </row>
    <row r="103" spans="3:6">
      <c r="C103" s="272"/>
      <c r="D103" s="272"/>
      <c r="E103" s="272"/>
    </row>
    <row r="104" spans="3:6">
      <c r="C104" s="272"/>
      <c r="D104" s="272"/>
      <c r="E104" s="272"/>
    </row>
    <row r="105" spans="3:6">
      <c r="C105" s="272"/>
      <c r="D105" s="272"/>
      <c r="E105" s="272"/>
    </row>
    <row r="106" spans="3:6">
      <c r="C106" s="272"/>
      <c r="D106" s="272"/>
      <c r="E106" s="272"/>
    </row>
    <row r="107" spans="3:6">
      <c r="C107" s="272"/>
      <c r="D107" s="272"/>
      <c r="E107" s="272"/>
    </row>
    <row r="108" spans="3:6">
      <c r="C108" s="272"/>
      <c r="D108" s="272"/>
      <c r="E108" s="272"/>
    </row>
    <row r="109" spans="3:6">
      <c r="C109" s="272"/>
      <c r="D109" s="272"/>
      <c r="E109" s="272"/>
    </row>
    <row r="110" spans="3:6">
      <c r="C110" s="272"/>
      <c r="D110" s="272"/>
      <c r="E110" s="272"/>
    </row>
    <row r="111" spans="3:6">
      <c r="C111" s="272"/>
      <c r="D111" s="272"/>
      <c r="E111" s="272"/>
    </row>
    <row r="112" spans="3:6">
      <c r="C112" s="272"/>
      <c r="D112" s="272"/>
      <c r="E112" s="272"/>
    </row>
    <row r="113" spans="1:24">
      <c r="C113" s="272"/>
      <c r="D113" s="272"/>
      <c r="E113" s="272"/>
    </row>
    <row r="114" spans="1:24">
      <c r="C114" s="272"/>
      <c r="D114" s="272"/>
      <c r="E114" s="272"/>
    </row>
    <row r="115" spans="1:24">
      <c r="C115" s="272"/>
      <c r="D115" s="272"/>
      <c r="E115" s="272"/>
    </row>
    <row r="116" spans="1:24">
      <c r="C116" s="272"/>
      <c r="D116" s="272"/>
      <c r="E116" s="272"/>
    </row>
    <row r="117" spans="1:24">
      <c r="C117" s="272"/>
      <c r="D117" s="272"/>
      <c r="E117" s="272"/>
    </row>
    <row r="118" spans="1:24">
      <c r="D118" s="279"/>
    </row>
    <row r="119" spans="1:24">
      <c r="D119" s="279"/>
    </row>
    <row r="120" spans="1:24">
      <c r="D120" s="279"/>
    </row>
    <row r="121" spans="1:24">
      <c r="D121" s="279"/>
    </row>
    <row r="122" spans="1:24">
      <c r="D122" s="279"/>
    </row>
    <row r="123" spans="1:24" s="1377" customFormat="1">
      <c r="A123" s="279"/>
      <c r="B123" s="279"/>
      <c r="C123" s="279"/>
      <c r="D123" s="279"/>
      <c r="E123" s="279"/>
      <c r="F123" s="279"/>
      <c r="G123" s="279"/>
      <c r="I123" s="279"/>
      <c r="J123" s="279"/>
      <c r="K123" s="279"/>
      <c r="L123" s="279"/>
      <c r="M123" s="279"/>
      <c r="N123" s="279"/>
      <c r="O123" s="279"/>
      <c r="P123" s="279"/>
      <c r="Q123" s="279"/>
      <c r="R123" s="279"/>
      <c r="S123" s="279"/>
      <c r="T123" s="279"/>
      <c r="U123" s="279"/>
      <c r="V123" s="279"/>
      <c r="W123" s="279"/>
      <c r="X123" s="279"/>
    </row>
    <row r="124" spans="1:24" s="1377" customFormat="1">
      <c r="A124" s="279"/>
      <c r="B124" s="279"/>
      <c r="C124" s="279"/>
      <c r="D124" s="279"/>
      <c r="E124" s="279"/>
      <c r="F124" s="279"/>
      <c r="G124" s="279"/>
      <c r="I124" s="279"/>
      <c r="J124" s="279"/>
      <c r="K124" s="279"/>
      <c r="L124" s="279"/>
      <c r="M124" s="279"/>
      <c r="N124" s="279"/>
      <c r="O124" s="279"/>
      <c r="P124" s="279"/>
      <c r="Q124" s="279"/>
      <c r="R124" s="279"/>
      <c r="S124" s="279"/>
      <c r="T124" s="279"/>
      <c r="U124" s="279"/>
      <c r="V124" s="279"/>
      <c r="W124" s="279"/>
      <c r="X124" s="279"/>
    </row>
    <row r="125" spans="1:24" s="1377" customFormat="1">
      <c r="A125" s="279"/>
      <c r="B125" s="279"/>
      <c r="C125" s="279"/>
      <c r="D125" s="279"/>
      <c r="E125" s="279"/>
      <c r="F125" s="279"/>
      <c r="G125" s="279"/>
      <c r="I125" s="279"/>
      <c r="J125" s="279"/>
      <c r="K125" s="279"/>
      <c r="L125" s="279"/>
      <c r="M125" s="279"/>
      <c r="N125" s="279"/>
      <c r="O125" s="279"/>
      <c r="P125" s="279"/>
      <c r="Q125" s="279"/>
      <c r="R125" s="279"/>
      <c r="S125" s="279"/>
      <c r="T125" s="279"/>
      <c r="U125" s="279"/>
      <c r="V125" s="279"/>
      <c r="W125" s="279"/>
      <c r="X125" s="279"/>
    </row>
    <row r="126" spans="1:24" s="1377" customFormat="1">
      <c r="A126" s="279"/>
      <c r="B126" s="279"/>
      <c r="C126" s="279"/>
      <c r="D126" s="279"/>
      <c r="E126" s="279"/>
      <c r="F126" s="279"/>
      <c r="G126" s="279"/>
      <c r="I126" s="279"/>
      <c r="J126" s="279"/>
      <c r="K126" s="279"/>
      <c r="L126" s="279"/>
      <c r="M126" s="279"/>
      <c r="N126" s="279"/>
      <c r="O126" s="279"/>
      <c r="P126" s="279"/>
      <c r="Q126" s="279"/>
      <c r="R126" s="279"/>
      <c r="S126" s="279"/>
      <c r="T126" s="279"/>
      <c r="U126" s="279"/>
      <c r="V126" s="279"/>
      <c r="W126" s="279"/>
      <c r="X126" s="279"/>
    </row>
    <row r="127" spans="1:24" s="1377" customFormat="1">
      <c r="A127" s="279"/>
      <c r="B127" s="279"/>
      <c r="C127" s="279"/>
      <c r="D127" s="279"/>
      <c r="E127" s="279"/>
      <c r="F127" s="279"/>
      <c r="G127" s="279"/>
      <c r="I127" s="279"/>
      <c r="J127" s="279"/>
      <c r="K127" s="279"/>
      <c r="L127" s="279"/>
      <c r="M127" s="279"/>
      <c r="N127" s="279"/>
      <c r="O127" s="279"/>
      <c r="P127" s="279"/>
      <c r="Q127" s="279"/>
      <c r="R127" s="279"/>
      <c r="S127" s="279"/>
      <c r="T127" s="279"/>
      <c r="U127" s="279"/>
      <c r="V127" s="279"/>
      <c r="W127" s="279"/>
      <c r="X127" s="279"/>
    </row>
    <row r="128" spans="1:24" s="1377" customFormat="1">
      <c r="A128" s="279"/>
      <c r="B128" s="279"/>
      <c r="C128" s="279"/>
      <c r="D128" s="279"/>
      <c r="E128" s="279"/>
      <c r="F128" s="279"/>
      <c r="G128" s="279"/>
      <c r="I128" s="279"/>
      <c r="J128" s="279"/>
      <c r="K128" s="279"/>
      <c r="L128" s="279"/>
      <c r="M128" s="279"/>
      <c r="N128" s="279"/>
      <c r="O128" s="279"/>
      <c r="P128" s="279"/>
      <c r="Q128" s="279"/>
      <c r="R128" s="279"/>
      <c r="S128" s="279"/>
      <c r="T128" s="279"/>
      <c r="U128" s="279"/>
      <c r="V128" s="279"/>
      <c r="W128" s="279"/>
      <c r="X128" s="279"/>
    </row>
    <row r="129" spans="1:24" s="1377" customFormat="1">
      <c r="A129" s="279"/>
      <c r="B129" s="279"/>
      <c r="C129" s="279"/>
      <c r="D129" s="279"/>
      <c r="E129" s="279"/>
      <c r="F129" s="279"/>
      <c r="G129" s="279"/>
      <c r="I129" s="279"/>
      <c r="J129" s="279"/>
      <c r="K129" s="279"/>
      <c r="L129" s="279"/>
      <c r="M129" s="279"/>
      <c r="N129" s="279"/>
      <c r="O129" s="279"/>
      <c r="P129" s="279"/>
      <c r="Q129" s="279"/>
      <c r="R129" s="279"/>
      <c r="S129" s="279"/>
      <c r="T129" s="279"/>
      <c r="U129" s="279"/>
      <c r="V129" s="279"/>
      <c r="W129" s="279"/>
      <c r="X129" s="279"/>
    </row>
    <row r="130" spans="1:24" s="1377" customFormat="1">
      <c r="A130" s="279"/>
      <c r="B130" s="279"/>
      <c r="C130" s="279"/>
      <c r="D130" s="279"/>
      <c r="E130" s="279"/>
      <c r="F130" s="279"/>
      <c r="G130" s="279"/>
      <c r="I130" s="279"/>
      <c r="J130" s="279"/>
      <c r="K130" s="279"/>
      <c r="L130" s="279"/>
      <c r="M130" s="279"/>
      <c r="N130" s="279"/>
      <c r="O130" s="279"/>
      <c r="P130" s="279"/>
      <c r="Q130" s="279"/>
      <c r="R130" s="279"/>
      <c r="S130" s="279"/>
      <c r="T130" s="279"/>
      <c r="U130" s="279"/>
      <c r="V130" s="279"/>
      <c r="W130" s="279"/>
      <c r="X130" s="279"/>
    </row>
    <row r="131" spans="1:24" s="1377" customFormat="1">
      <c r="A131" s="279"/>
      <c r="B131" s="279"/>
      <c r="C131" s="279"/>
      <c r="D131" s="279"/>
      <c r="E131" s="279"/>
      <c r="F131" s="279"/>
      <c r="G131" s="279"/>
      <c r="I131" s="279"/>
      <c r="J131" s="279"/>
      <c r="K131" s="279"/>
      <c r="L131" s="279"/>
      <c r="M131" s="279"/>
      <c r="N131" s="279"/>
      <c r="O131" s="279"/>
      <c r="P131" s="279"/>
      <c r="Q131" s="279"/>
      <c r="R131" s="279"/>
      <c r="S131" s="279"/>
      <c r="T131" s="279"/>
      <c r="U131" s="279"/>
      <c r="V131" s="279"/>
      <c r="W131" s="279"/>
      <c r="X131" s="279"/>
    </row>
    <row r="132" spans="1:24" s="1377" customFormat="1">
      <c r="A132" s="279"/>
      <c r="B132" s="279"/>
      <c r="C132" s="279"/>
      <c r="D132" s="279"/>
      <c r="E132" s="279"/>
      <c r="F132" s="279"/>
      <c r="G132" s="279"/>
      <c r="I132" s="279"/>
      <c r="J132" s="279"/>
      <c r="K132" s="279"/>
      <c r="L132" s="279"/>
      <c r="M132" s="279"/>
      <c r="N132" s="279"/>
      <c r="O132" s="279"/>
      <c r="P132" s="279"/>
      <c r="Q132" s="279"/>
      <c r="R132" s="279"/>
      <c r="S132" s="279"/>
      <c r="T132" s="279"/>
      <c r="U132" s="279"/>
      <c r="V132" s="279"/>
      <c r="W132" s="279"/>
      <c r="X132" s="279"/>
    </row>
    <row r="133" spans="1:24" s="1377" customFormat="1">
      <c r="A133" s="279"/>
      <c r="B133" s="279"/>
      <c r="C133" s="279"/>
      <c r="D133" s="279"/>
      <c r="E133" s="279"/>
      <c r="F133" s="279"/>
      <c r="G133" s="279"/>
      <c r="I133" s="279"/>
      <c r="J133" s="279"/>
      <c r="K133" s="279"/>
      <c r="L133" s="279"/>
      <c r="M133" s="279"/>
      <c r="N133" s="279"/>
      <c r="O133" s="279"/>
      <c r="P133" s="279"/>
      <c r="Q133" s="279"/>
      <c r="R133" s="279"/>
      <c r="S133" s="279"/>
      <c r="T133" s="279"/>
      <c r="U133" s="279"/>
      <c r="V133" s="279"/>
      <c r="W133" s="279"/>
      <c r="X133" s="279"/>
    </row>
    <row r="134" spans="1:24" s="1377" customFormat="1">
      <c r="A134" s="279"/>
      <c r="B134" s="279"/>
      <c r="C134" s="279"/>
      <c r="D134" s="279"/>
      <c r="E134" s="279"/>
      <c r="F134" s="279"/>
      <c r="G134" s="279"/>
      <c r="I134" s="279"/>
      <c r="J134" s="279"/>
      <c r="K134" s="279"/>
      <c r="L134" s="279"/>
      <c r="M134" s="279"/>
      <c r="N134" s="279"/>
      <c r="O134" s="279"/>
      <c r="P134" s="279"/>
      <c r="Q134" s="279"/>
      <c r="R134" s="279"/>
      <c r="S134" s="279"/>
      <c r="T134" s="279"/>
      <c r="U134" s="279"/>
      <c r="V134" s="279"/>
      <c r="W134" s="279"/>
      <c r="X134" s="279"/>
    </row>
    <row r="135" spans="1:24" s="1377" customFormat="1">
      <c r="A135" s="279"/>
      <c r="B135" s="279"/>
      <c r="C135" s="272"/>
      <c r="D135" s="1519"/>
      <c r="E135" s="272"/>
      <c r="F135" s="272"/>
      <c r="G135" s="272"/>
      <c r="I135" s="279"/>
      <c r="J135" s="279"/>
      <c r="K135" s="279"/>
      <c r="L135" s="279"/>
      <c r="M135" s="279"/>
      <c r="N135" s="279"/>
      <c r="O135" s="279"/>
      <c r="P135" s="279"/>
      <c r="Q135" s="279"/>
      <c r="R135" s="279"/>
      <c r="S135" s="279"/>
      <c r="T135" s="279"/>
      <c r="U135" s="279"/>
      <c r="V135" s="279"/>
      <c r="W135" s="279"/>
      <c r="X135" s="279"/>
    </row>
    <row r="136" spans="1:24" s="1377" customFormat="1">
      <c r="A136" s="279"/>
      <c r="B136" s="279"/>
      <c r="C136" s="272"/>
      <c r="D136" s="1519"/>
      <c r="E136" s="272"/>
      <c r="F136" s="272"/>
      <c r="G136" s="272"/>
      <c r="I136" s="279"/>
      <c r="J136" s="279"/>
      <c r="K136" s="279"/>
      <c r="L136" s="279"/>
      <c r="M136" s="279"/>
      <c r="N136" s="279"/>
      <c r="O136" s="279"/>
      <c r="P136" s="279"/>
      <c r="Q136" s="279"/>
      <c r="R136" s="279"/>
      <c r="S136" s="279"/>
      <c r="T136" s="279"/>
      <c r="U136" s="279"/>
      <c r="V136" s="279"/>
      <c r="W136" s="279"/>
      <c r="X136" s="279"/>
    </row>
    <row r="137" spans="1:24" s="1377" customFormat="1">
      <c r="A137" s="279"/>
      <c r="B137" s="279"/>
      <c r="C137" s="272"/>
      <c r="D137" s="1519"/>
      <c r="E137" s="272"/>
      <c r="F137" s="272"/>
      <c r="G137" s="272"/>
      <c r="I137" s="279"/>
      <c r="J137" s="279"/>
      <c r="K137" s="279"/>
      <c r="L137" s="279"/>
      <c r="M137" s="279"/>
      <c r="N137" s="279"/>
      <c r="O137" s="279"/>
      <c r="P137" s="279"/>
      <c r="Q137" s="279"/>
      <c r="R137" s="279"/>
      <c r="S137" s="279"/>
      <c r="T137" s="279"/>
      <c r="U137" s="279"/>
      <c r="V137" s="279"/>
      <c r="W137" s="279"/>
      <c r="X137" s="279"/>
    </row>
    <row r="138" spans="1:24" s="1377" customFormat="1">
      <c r="A138" s="279"/>
      <c r="B138" s="279"/>
      <c r="C138" s="272"/>
      <c r="D138" s="1519"/>
      <c r="E138" s="272"/>
      <c r="F138" s="272"/>
      <c r="G138" s="272"/>
      <c r="I138" s="279"/>
      <c r="J138" s="279"/>
      <c r="K138" s="279"/>
      <c r="L138" s="279"/>
      <c r="M138" s="279"/>
      <c r="N138" s="279"/>
      <c r="O138" s="279"/>
      <c r="P138" s="279"/>
      <c r="Q138" s="279"/>
      <c r="R138" s="279"/>
      <c r="S138" s="279"/>
      <c r="T138" s="279"/>
      <c r="U138" s="279"/>
      <c r="V138" s="279"/>
      <c r="W138" s="279"/>
      <c r="X138" s="279"/>
    </row>
    <row r="139" spans="1:24" s="1377" customFormat="1">
      <c r="A139" s="279"/>
      <c r="B139" s="279"/>
      <c r="C139" s="272"/>
      <c r="D139" s="1519"/>
      <c r="E139" s="272"/>
      <c r="F139" s="272"/>
      <c r="G139" s="272"/>
      <c r="I139" s="279"/>
      <c r="J139" s="279"/>
      <c r="K139" s="279"/>
      <c r="L139" s="279"/>
      <c r="M139" s="279"/>
      <c r="N139" s="279"/>
      <c r="O139" s="279"/>
      <c r="P139" s="279"/>
      <c r="Q139" s="279"/>
      <c r="R139" s="279"/>
      <c r="S139" s="279"/>
      <c r="T139" s="279"/>
      <c r="U139" s="279"/>
      <c r="V139" s="279"/>
      <c r="W139" s="279"/>
      <c r="X139" s="279"/>
    </row>
    <row r="140" spans="1:24" s="1377" customFormat="1">
      <c r="A140" s="279"/>
      <c r="B140" s="279"/>
      <c r="C140" s="272"/>
      <c r="D140" s="1519"/>
      <c r="E140" s="272"/>
      <c r="F140" s="272"/>
      <c r="G140" s="272"/>
      <c r="I140" s="279"/>
      <c r="J140" s="279"/>
      <c r="K140" s="279"/>
      <c r="L140" s="279"/>
      <c r="M140" s="279"/>
      <c r="N140" s="279"/>
      <c r="O140" s="279"/>
      <c r="P140" s="279"/>
      <c r="Q140" s="279"/>
      <c r="R140" s="279"/>
      <c r="S140" s="279"/>
      <c r="T140" s="279"/>
      <c r="U140" s="279"/>
      <c r="V140" s="279"/>
      <c r="W140" s="279"/>
      <c r="X140" s="279"/>
    </row>
  </sheetData>
  <mergeCells count="6">
    <mergeCell ref="C50:N50"/>
    <mergeCell ref="C3:N3"/>
    <mergeCell ref="C4:N4"/>
    <mergeCell ref="C5:N5"/>
    <mergeCell ref="C6:N6"/>
    <mergeCell ref="J8:N8"/>
  </mergeCells>
  <conditionalFormatting sqref="O47 O30 O13:O17">
    <cfRule type="cellIs" dxfId="4" priority="2" stopIfTrue="1" operator="equal">
      <formula>FALSE</formula>
    </cfRule>
  </conditionalFormatting>
  <conditionalFormatting sqref="O18">
    <cfRule type="cellIs" dxfId="3" priority="1" stopIfTrue="1" operator="equal">
      <formula>FALSE</formula>
    </cfRule>
  </conditionalFormatting>
  <pageMargins left="0.5" right="0.5" top="1" bottom="0.5" header="0.5" footer="0.5"/>
  <pageSetup scale="53" fitToHeight="0" orientation="portrait" r:id="rId1"/>
  <headerFooter alignWithMargins="0">
    <oddHeader>&amp;R&amp;18AEP - SPP Transco Formula Rate
TCOS - WS-C-1
Page: &amp;P of &amp;N</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4"/>
  <sheetViews>
    <sheetView zoomScale="81" zoomScaleNormal="81" zoomScaleSheetLayoutView="75" zoomScalePageLayoutView="75" workbookViewId="0">
      <selection activeCell="K14" sqref="K14"/>
    </sheetView>
  </sheetViews>
  <sheetFormatPr defaultColWidth="8.81640625" defaultRowHeight="12.5"/>
  <cols>
    <col min="1" max="2" width="1.7265625" style="279" customWidth="1"/>
    <col min="3" max="3" width="10.7265625" style="279" customWidth="1"/>
    <col min="4" max="4" width="1.7265625" style="1500" customWidth="1"/>
    <col min="5" max="5" width="11.1796875" style="279" customWidth="1"/>
    <col min="6" max="6" width="1.7265625" style="279" customWidth="1"/>
    <col min="7" max="7" width="53.26953125" style="279" customWidth="1"/>
    <col min="8" max="8" width="18.7265625" style="1377" customWidth="1"/>
    <col min="9" max="9" width="11.7265625" style="279" customWidth="1"/>
    <col min="10" max="10" width="16.81640625" style="279" customWidth="1"/>
    <col min="11" max="11" width="16.26953125" style="279" customWidth="1"/>
    <col min="12" max="12" width="18.81640625" style="279" customWidth="1"/>
    <col min="13" max="13" width="13.26953125" style="279" customWidth="1"/>
    <col min="14" max="14" width="17.1796875" style="279" customWidth="1"/>
    <col min="15" max="16384" width="8.81640625" style="279"/>
  </cols>
  <sheetData>
    <row r="1" spans="1:15" ht="15.5">
      <c r="A1" s="551"/>
    </row>
    <row r="2" spans="1:15" ht="20">
      <c r="A2" s="554"/>
      <c r="B2" s="555"/>
      <c r="D2" s="279"/>
      <c r="I2" s="1479"/>
      <c r="J2" s="1479"/>
      <c r="K2" s="1479"/>
      <c r="L2" s="1479"/>
      <c r="M2" s="1479"/>
      <c r="N2" s="508" t="s">
        <v>253</v>
      </c>
      <c r="O2" s="505"/>
    </row>
    <row r="3" spans="1:15" ht="20">
      <c r="A3" s="508"/>
      <c r="B3" s="507"/>
      <c r="C3" s="2004" t="str">
        <f>+'SWT TCOS'!F4</f>
        <v xml:space="preserve">AEP West SPP Member Transmission Companies </v>
      </c>
      <c r="D3" s="2004"/>
      <c r="E3" s="2004"/>
      <c r="F3" s="2004"/>
      <c r="G3" s="2004"/>
      <c r="H3" s="2004"/>
      <c r="I3" s="2004"/>
      <c r="J3" s="2004"/>
      <c r="K3" s="2004"/>
      <c r="L3" s="2004"/>
      <c r="M3" s="2004"/>
      <c r="N3" s="2004"/>
      <c r="O3" s="505"/>
    </row>
    <row r="4" spans="1:15" ht="17.5">
      <c r="C4" s="2089" t="str">
        <f>+'SWT TCOS'!F8</f>
        <v>AEP SOUTHWESTERN TRANSMISSION COMPANY</v>
      </c>
      <c r="D4" s="2089"/>
      <c r="E4" s="2089"/>
      <c r="F4" s="2089"/>
      <c r="G4" s="2089"/>
      <c r="H4" s="2089"/>
      <c r="I4" s="2089"/>
      <c r="J4" s="2089"/>
      <c r="K4" s="2089"/>
      <c r="L4" s="2089"/>
      <c r="M4" s="2089"/>
      <c r="N4" s="2089"/>
      <c r="O4" s="505"/>
    </row>
    <row r="5" spans="1:15" ht="18">
      <c r="C5" s="2089" t="s">
        <v>628</v>
      </c>
      <c r="D5" s="2089"/>
      <c r="E5" s="2089"/>
      <c r="F5" s="2089"/>
      <c r="G5" s="2089"/>
      <c r="H5" s="2089"/>
      <c r="I5" s="2089"/>
      <c r="J5" s="2089"/>
      <c r="K5" s="2089"/>
      <c r="L5" s="2089"/>
      <c r="M5" s="2089"/>
      <c r="N5" s="2089"/>
    </row>
    <row r="6" spans="1:15" ht="23.25" customHeight="1">
      <c r="C6" s="2008" t="str">
        <f>"AS OF DECEMBER 31, "&amp;'SWT TCOS'!N2-1&amp;""</f>
        <v>AS OF DECEMBER 31, 2018</v>
      </c>
      <c r="D6" s="2008"/>
      <c r="E6" s="2008"/>
      <c r="F6" s="2008"/>
      <c r="G6" s="2008"/>
      <c r="H6" s="2008"/>
      <c r="I6" s="2008"/>
      <c r="J6" s="2008"/>
      <c r="K6" s="2008"/>
      <c r="L6" s="2008"/>
      <c r="M6" s="2008"/>
      <c r="N6" s="2008"/>
    </row>
    <row r="7" spans="1:15">
      <c r="D7" s="279"/>
    </row>
    <row r="8" spans="1:15">
      <c r="D8" s="279"/>
      <c r="J8" s="2006" t="s">
        <v>151</v>
      </c>
      <c r="K8" s="2006"/>
      <c r="L8" s="2006"/>
      <c r="M8" s="2006"/>
      <c r="N8" s="2006"/>
    </row>
    <row r="9" spans="1:15" ht="26">
      <c r="C9" s="556" t="s">
        <v>389</v>
      </c>
      <c r="D9" s="557"/>
      <c r="E9" s="556" t="s">
        <v>152</v>
      </c>
      <c r="G9" s="556" t="s">
        <v>305</v>
      </c>
      <c r="H9" s="558" t="s">
        <v>315</v>
      </c>
      <c r="I9" s="559" t="s">
        <v>85</v>
      </c>
      <c r="J9" s="559" t="s">
        <v>153</v>
      </c>
      <c r="K9" s="559" t="s">
        <v>154</v>
      </c>
      <c r="L9" s="556" t="s">
        <v>155</v>
      </c>
      <c r="M9" s="556" t="s">
        <v>156</v>
      </c>
      <c r="N9" s="556" t="s">
        <v>299</v>
      </c>
    </row>
    <row r="10" spans="1:15">
      <c r="C10" s="585" t="s">
        <v>586</v>
      </c>
      <c r="D10" s="1501" t="s">
        <v>336</v>
      </c>
      <c r="E10" s="562" t="s">
        <v>656</v>
      </c>
      <c r="F10" s="132"/>
      <c r="G10" s="562" t="s">
        <v>956</v>
      </c>
      <c r="H10" s="1502">
        <v>0</v>
      </c>
      <c r="I10" s="1503" t="s">
        <v>55</v>
      </c>
      <c r="J10" s="1504" t="str">
        <f t="shared" ref="J10" si="0">IF(I10="e",H10," ")</f>
        <v xml:space="preserve"> </v>
      </c>
      <c r="K10" s="1487">
        <f t="shared" ref="K10:K16" si="1">IF($I10="T",$H10," ")</f>
        <v>0</v>
      </c>
      <c r="L10" s="1487" t="str">
        <f t="shared" ref="L10:L16" si="2">IF($I10="PTD",$H10," ")</f>
        <v xml:space="preserve"> </v>
      </c>
      <c r="M10" s="1504" t="str">
        <f t="shared" ref="M10:M16" si="3">IF($I10="T&amp;D",$H10," ")</f>
        <v xml:space="preserve"> </v>
      </c>
      <c r="N10" s="1504" t="str">
        <f t="shared" ref="N10" si="4">IF(I10="Labor",H10," ")</f>
        <v xml:space="preserve"> </v>
      </c>
    </row>
    <row r="11" spans="1:15">
      <c r="C11" s="585" t="s">
        <v>586</v>
      </c>
      <c r="D11" s="1501" t="s">
        <v>336</v>
      </c>
      <c r="E11" s="562" t="s">
        <v>657</v>
      </c>
      <c r="F11" s="132"/>
      <c r="G11" s="562" t="s">
        <v>957</v>
      </c>
      <c r="H11" s="1502">
        <v>-0.21</v>
      </c>
      <c r="I11" s="1503" t="s">
        <v>55</v>
      </c>
      <c r="J11" s="1504" t="str">
        <f t="shared" ref="J11:J16" si="5">IF(I11="e",H11," ")</f>
        <v xml:space="preserve"> </v>
      </c>
      <c r="K11" s="1487">
        <f t="shared" si="1"/>
        <v>-0.21</v>
      </c>
      <c r="L11" s="1487" t="str">
        <f t="shared" si="2"/>
        <v xml:space="preserve"> </v>
      </c>
      <c r="M11" s="1504" t="str">
        <f t="shared" si="3"/>
        <v xml:space="preserve"> </v>
      </c>
      <c r="N11" s="1504" t="str">
        <f t="shared" ref="N11:N16" si="6">IF(I11="Labor",H11," ")</f>
        <v xml:space="preserve"> </v>
      </c>
    </row>
    <row r="12" spans="1:15">
      <c r="C12" s="585" t="s">
        <v>586</v>
      </c>
      <c r="D12" s="1505"/>
      <c r="E12" s="562" t="s">
        <v>1005</v>
      </c>
      <c r="F12" s="563"/>
      <c r="G12" s="562" t="s">
        <v>1006</v>
      </c>
      <c r="H12" s="1502">
        <v>117.18</v>
      </c>
      <c r="I12" s="565" t="s">
        <v>55</v>
      </c>
      <c r="J12" s="1504" t="str">
        <f t="shared" si="5"/>
        <v xml:space="preserve"> </v>
      </c>
      <c r="K12" s="1487">
        <f t="shared" si="1"/>
        <v>117.18</v>
      </c>
      <c r="L12" s="1487" t="str">
        <f t="shared" si="2"/>
        <v xml:space="preserve"> </v>
      </c>
      <c r="M12" s="1504" t="str">
        <f t="shared" si="3"/>
        <v xml:space="preserve"> </v>
      </c>
      <c r="N12" s="1504"/>
    </row>
    <row r="13" spans="1:15">
      <c r="C13" s="585" t="s">
        <v>586</v>
      </c>
      <c r="D13" s="1505"/>
      <c r="E13" s="584" t="s">
        <v>976</v>
      </c>
      <c r="F13" s="563"/>
      <c r="G13" s="562" t="s">
        <v>1007</v>
      </c>
      <c r="H13" s="1502">
        <v>297.22000000000003</v>
      </c>
      <c r="I13" s="565" t="s">
        <v>827</v>
      </c>
      <c r="J13" s="564">
        <v>480.22</v>
      </c>
      <c r="K13" s="564">
        <v>-183</v>
      </c>
      <c r="L13" s="1487"/>
      <c r="M13" s="1504"/>
      <c r="N13" s="1504"/>
    </row>
    <row r="14" spans="1:15">
      <c r="C14" s="585" t="s">
        <v>586</v>
      </c>
      <c r="D14" s="1505"/>
      <c r="E14" s="584" t="s">
        <v>976</v>
      </c>
      <c r="F14" s="563"/>
      <c r="G14" s="562" t="s">
        <v>1008</v>
      </c>
      <c r="H14" s="1502">
        <v>-167.02</v>
      </c>
      <c r="I14" s="565" t="s">
        <v>827</v>
      </c>
      <c r="J14" s="564">
        <v>-417.404</v>
      </c>
      <c r="K14" s="564">
        <v>250.38400000000001</v>
      </c>
      <c r="L14" s="1487"/>
      <c r="M14" s="1504"/>
      <c r="N14" s="1504"/>
    </row>
    <row r="15" spans="1:15">
      <c r="C15" s="1520"/>
      <c r="D15" s="1521"/>
      <c r="E15" s="1522"/>
      <c r="F15" s="1523"/>
      <c r="G15" s="605"/>
      <c r="H15" s="717"/>
      <c r="I15" s="1524"/>
      <c r="J15" s="1525"/>
      <c r="K15" s="1526"/>
      <c r="L15" s="1526"/>
      <c r="M15" s="1525"/>
      <c r="N15" s="1525"/>
    </row>
    <row r="16" spans="1:15">
      <c r="C16" s="573"/>
      <c r="D16" s="1519"/>
      <c r="E16" s="1507"/>
      <c r="G16" s="573"/>
      <c r="H16" s="575"/>
      <c r="I16" s="576"/>
      <c r="J16" s="1504" t="str">
        <f t="shared" si="5"/>
        <v xml:space="preserve"> </v>
      </c>
      <c r="K16" s="1487" t="str">
        <f t="shared" si="1"/>
        <v xml:space="preserve"> </v>
      </c>
      <c r="L16" s="1487" t="str">
        <f t="shared" si="2"/>
        <v xml:space="preserve"> </v>
      </c>
      <c r="M16" s="1504" t="str">
        <f t="shared" si="3"/>
        <v xml:space="preserve"> </v>
      </c>
      <c r="N16" s="1504" t="str">
        <f t="shared" si="6"/>
        <v xml:space="preserve"> </v>
      </c>
    </row>
    <row r="17" spans="3:15">
      <c r="C17" s="272"/>
      <c r="D17" s="1519"/>
      <c r="E17" s="1527"/>
      <c r="H17" s="1487"/>
      <c r="I17" s="1528"/>
      <c r="J17" s="1529"/>
      <c r="K17" s="1487"/>
      <c r="L17" s="1487"/>
      <c r="M17" s="1530"/>
      <c r="N17" s="1529"/>
    </row>
    <row r="18" spans="3:15" ht="13">
      <c r="C18" s="608">
        <v>282.10000000000002</v>
      </c>
      <c r="D18" s="279"/>
      <c r="E18" s="1527"/>
      <c r="G18" s="578" t="s">
        <v>158</v>
      </c>
      <c r="H18" s="579">
        <f>SUM(H11:H17)</f>
        <v>247.17000000000004</v>
      </c>
      <c r="I18" s="1487"/>
      <c r="J18" s="579">
        <f>SUM(J11:J17)</f>
        <v>62.816000000000031</v>
      </c>
      <c r="K18" s="579">
        <f>SUM(K11:K17)</f>
        <v>184.35400000000004</v>
      </c>
      <c r="L18" s="579">
        <f>SUM(L11:L17)</f>
        <v>0</v>
      </c>
      <c r="M18" s="579">
        <f>SUM(M11:M17)</f>
        <v>0</v>
      </c>
      <c r="N18" s="579">
        <f>SUM(N11:N17)</f>
        <v>0</v>
      </c>
      <c r="O18" s="567"/>
    </row>
    <row r="19" spans="3:15" ht="25">
      <c r="E19" s="1527"/>
      <c r="G19" s="1509" t="s">
        <v>168</v>
      </c>
      <c r="H19" s="1502">
        <v>247</v>
      </c>
      <c r="I19" s="1510"/>
      <c r="J19" s="1487"/>
      <c r="K19" s="1487"/>
      <c r="L19" s="1487"/>
      <c r="M19" s="1487"/>
      <c r="N19" s="1487"/>
    </row>
    <row r="20" spans="3:15">
      <c r="E20" s="1527"/>
      <c r="H20" s="1511"/>
      <c r="I20" s="1487"/>
      <c r="J20" s="1487"/>
      <c r="K20" s="1487"/>
      <c r="L20" s="1487"/>
      <c r="M20" s="1487"/>
      <c r="N20" s="1487"/>
    </row>
    <row r="21" spans="3:15">
      <c r="E21" s="1527"/>
      <c r="H21" s="1511"/>
      <c r="I21" s="1487"/>
      <c r="J21" s="1487"/>
      <c r="K21" s="1487"/>
      <c r="L21" s="1487"/>
      <c r="M21" s="1487"/>
      <c r="N21" s="1487"/>
    </row>
    <row r="22" spans="3:15">
      <c r="C22" s="585" t="s">
        <v>587</v>
      </c>
      <c r="D22" s="1512"/>
      <c r="E22" s="584" t="s">
        <v>1091</v>
      </c>
      <c r="F22" s="563"/>
      <c r="G22" s="562" t="s">
        <v>1090</v>
      </c>
      <c r="H22" s="564">
        <v>0</v>
      </c>
      <c r="I22" s="565" t="s">
        <v>290</v>
      </c>
      <c r="J22" s="1529">
        <f>H22</f>
        <v>0</v>
      </c>
      <c r="K22" s="1487" t="str">
        <f t="shared" ref="K22:K23" si="7">IF($I22="T",$H22," ")</f>
        <v xml:space="preserve"> </v>
      </c>
      <c r="L22" s="1487" t="str">
        <f t="shared" ref="L22:L28" si="8">IF($I22="PTD",$H22," ")</f>
        <v xml:space="preserve"> </v>
      </c>
      <c r="M22" s="1529" t="str">
        <f t="shared" ref="M22:M28" si="9">IF($I22="T&amp;D",$H22," ")</f>
        <v xml:space="preserve"> </v>
      </c>
      <c r="N22" s="1529" t="str">
        <f>IF(I22="Labor",H22," ")</f>
        <v xml:space="preserve"> </v>
      </c>
    </row>
    <row r="23" spans="3:15">
      <c r="C23" s="585" t="s">
        <v>587</v>
      </c>
      <c r="D23" s="1512"/>
      <c r="E23" s="584" t="s">
        <v>663</v>
      </c>
      <c r="F23" s="563"/>
      <c r="G23" s="562" t="s">
        <v>963</v>
      </c>
      <c r="H23" s="564">
        <v>-25044.58</v>
      </c>
      <c r="I23" s="565" t="s">
        <v>290</v>
      </c>
      <c r="J23" s="1529">
        <f t="shared" ref="J23:J25" si="10">IF(I23="e",H23," ")</f>
        <v>-25044.58</v>
      </c>
      <c r="K23" s="1487" t="str">
        <f t="shared" si="7"/>
        <v xml:space="preserve"> </v>
      </c>
      <c r="L23" s="1487" t="str">
        <f t="shared" si="8"/>
        <v xml:space="preserve"> </v>
      </c>
      <c r="M23" s="1529" t="str">
        <f t="shared" si="9"/>
        <v xml:space="preserve"> </v>
      </c>
      <c r="N23" s="1529" t="str">
        <f t="shared" ref="N23:N26" si="11">IF(I23="Labor",H23," ")</f>
        <v xml:space="preserve"> </v>
      </c>
    </row>
    <row r="24" spans="3:15">
      <c r="C24" s="585" t="s">
        <v>587</v>
      </c>
      <c r="D24" s="1512"/>
      <c r="E24" s="584" t="s">
        <v>1092</v>
      </c>
      <c r="F24" s="563"/>
      <c r="G24" s="562" t="s">
        <v>1093</v>
      </c>
      <c r="H24" s="564">
        <v>0</v>
      </c>
      <c r="I24" s="565" t="s">
        <v>290</v>
      </c>
      <c r="J24" s="1529">
        <f t="shared" si="10"/>
        <v>0</v>
      </c>
      <c r="K24" s="1487"/>
      <c r="L24" s="1487"/>
      <c r="M24" s="1529"/>
      <c r="N24" s="1529"/>
    </row>
    <row r="25" spans="3:15">
      <c r="C25" s="585" t="s">
        <v>587</v>
      </c>
      <c r="D25" s="1512"/>
      <c r="E25" s="584" t="s">
        <v>978</v>
      </c>
      <c r="F25" s="563"/>
      <c r="G25" s="562" t="s">
        <v>979</v>
      </c>
      <c r="H25" s="564">
        <v>25044.58</v>
      </c>
      <c r="I25" s="565" t="s">
        <v>290</v>
      </c>
      <c r="J25" s="1529">
        <f t="shared" si="10"/>
        <v>25044.58</v>
      </c>
      <c r="K25" s="1487"/>
      <c r="L25" s="1487"/>
      <c r="M25" s="1529"/>
      <c r="N25" s="1529"/>
    </row>
    <row r="26" spans="3:15">
      <c r="C26" s="585">
        <v>2831001</v>
      </c>
      <c r="D26" s="1513"/>
      <c r="E26" s="584" t="s">
        <v>976</v>
      </c>
      <c r="F26" s="132"/>
      <c r="G26" s="562" t="s">
        <v>1008</v>
      </c>
      <c r="H26" s="564">
        <v>8997.33</v>
      </c>
      <c r="I26" s="565" t="s">
        <v>827</v>
      </c>
      <c r="J26" s="564">
        <v>1799.1360000000004</v>
      </c>
      <c r="K26" s="564">
        <v>7197.8639999999996</v>
      </c>
      <c r="L26" s="1487" t="str">
        <f t="shared" si="8"/>
        <v xml:space="preserve"> </v>
      </c>
      <c r="M26" s="1529" t="str">
        <f t="shared" si="9"/>
        <v xml:space="preserve"> </v>
      </c>
      <c r="N26" s="1529" t="str">
        <f t="shared" si="11"/>
        <v xml:space="preserve"> </v>
      </c>
    </row>
    <row r="27" spans="3:15">
      <c r="C27" s="585"/>
      <c r="D27" s="1513"/>
      <c r="E27" s="584"/>
      <c r="F27" s="132"/>
      <c r="G27" s="562"/>
      <c r="H27" s="564"/>
      <c r="I27" s="565"/>
      <c r="J27" s="564"/>
      <c r="K27" s="564"/>
      <c r="L27" s="1487"/>
      <c r="M27" s="1529"/>
      <c r="N27" s="1529"/>
    </row>
    <row r="28" spans="3:15">
      <c r="C28" s="585">
        <v>2831002</v>
      </c>
      <c r="D28" s="1512"/>
      <c r="E28" s="584" t="s">
        <v>664</v>
      </c>
      <c r="F28" s="563"/>
      <c r="G28" s="562" t="s">
        <v>665</v>
      </c>
      <c r="H28" s="564">
        <v>7354</v>
      </c>
      <c r="I28" s="565" t="s">
        <v>55</v>
      </c>
      <c r="J28" s="1529" t="str">
        <f t="shared" ref="J28" si="12">IF(I28="e",H28," ")</f>
        <v xml:space="preserve"> </v>
      </c>
      <c r="K28" s="1487">
        <f t="shared" ref="K28" si="13">IF($I28="T",$H28," ")</f>
        <v>7354</v>
      </c>
      <c r="L28" s="1487" t="str">
        <f t="shared" si="8"/>
        <v xml:space="preserve"> </v>
      </c>
      <c r="M28" s="1529" t="str">
        <f t="shared" si="9"/>
        <v xml:space="preserve"> </v>
      </c>
      <c r="N28" s="1529" t="str">
        <f t="shared" ref="N28" si="14">IF(I28="Labor",H28," ")</f>
        <v xml:space="preserve"> </v>
      </c>
    </row>
    <row r="29" spans="3:15">
      <c r="C29" s="1527"/>
      <c r="D29" s="279"/>
      <c r="E29" s="1527"/>
      <c r="H29" s="1487"/>
      <c r="I29" s="1487"/>
      <c r="J29" s="1511" t="str">
        <f>IF(I29="e",H29," ")</f>
        <v xml:space="preserve"> </v>
      </c>
      <c r="K29" s="1511"/>
      <c r="L29" s="1511" t="str">
        <f>IF($I29="PTD",$H29," ")</f>
        <v xml:space="preserve"> </v>
      </c>
      <c r="M29" s="1511" t="str">
        <f>IF($I29="T&amp;D",$H29," ")</f>
        <v xml:space="preserve"> </v>
      </c>
      <c r="N29" s="1511" t="str">
        <f>IF(I29="Labor",H29," ")</f>
        <v xml:space="preserve"> </v>
      </c>
    </row>
    <row r="30" spans="3:15" ht="13">
      <c r="C30" s="1531">
        <v>283.10000000000002</v>
      </c>
      <c r="D30" s="279"/>
      <c r="E30" s="1527"/>
      <c r="G30" s="578" t="s">
        <v>158</v>
      </c>
      <c r="H30" s="591">
        <f>SUM(H22:H29)</f>
        <v>16351.33</v>
      </c>
      <c r="I30" s="1487"/>
      <c r="J30" s="579">
        <f>SUM(J22:J29)</f>
        <v>1799.1360000000004</v>
      </c>
      <c r="K30" s="579">
        <f>SUM(K22:K29)</f>
        <v>14551.864</v>
      </c>
      <c r="L30" s="579">
        <f>SUM(L22:L29)</f>
        <v>0</v>
      </c>
      <c r="M30" s="579">
        <f>SUM(M22:M29)</f>
        <v>0</v>
      </c>
      <c r="N30" s="579">
        <f>SUM(N22:N29)</f>
        <v>0</v>
      </c>
      <c r="O30" s="567"/>
    </row>
    <row r="31" spans="3:15" ht="25.5">
      <c r="C31" s="1532"/>
      <c r="D31" s="279"/>
      <c r="E31" s="1527"/>
      <c r="G31" s="1509" t="s">
        <v>111</v>
      </c>
      <c r="H31" s="1502">
        <v>16351</v>
      </c>
      <c r="I31" s="1510"/>
      <c r="J31" s="593"/>
      <c r="K31" s="593"/>
      <c r="L31" s="593"/>
      <c r="M31" s="593"/>
      <c r="N31" s="593"/>
    </row>
    <row r="32" spans="3:15" ht="13">
      <c r="C32" s="1532"/>
      <c r="D32" s="279"/>
      <c r="E32" s="1527"/>
      <c r="G32" s="1533"/>
      <c r="H32" s="1511"/>
      <c r="I32" s="1510"/>
      <c r="J32" s="593"/>
      <c r="K32" s="593"/>
      <c r="L32" s="593"/>
      <c r="M32" s="593"/>
      <c r="N32" s="593"/>
    </row>
    <row r="33" spans="3:15">
      <c r="C33" s="1527"/>
      <c r="E33" s="1527"/>
      <c r="H33" s="1511"/>
      <c r="I33" s="1487"/>
      <c r="J33" s="1487"/>
      <c r="K33" s="1487"/>
      <c r="L33" s="1487"/>
      <c r="M33" s="1487"/>
      <c r="N33" s="1487"/>
    </row>
    <row r="34" spans="3:15">
      <c r="C34" s="585" t="s">
        <v>588</v>
      </c>
      <c r="D34" s="1516"/>
      <c r="E34" s="584" t="s">
        <v>980</v>
      </c>
      <c r="F34" s="563"/>
      <c r="G34" s="562" t="s">
        <v>981</v>
      </c>
      <c r="H34" s="564">
        <v>16421.13</v>
      </c>
      <c r="I34" s="565" t="s">
        <v>290</v>
      </c>
      <c r="J34" s="1504">
        <f t="shared" ref="J34:J45" si="15">IF(I34="e",H34," ")</f>
        <v>16421.13</v>
      </c>
      <c r="K34" s="1487" t="str">
        <f t="shared" ref="K34:K45" si="16">IF($I34="T",$H34," ")</f>
        <v xml:space="preserve"> </v>
      </c>
      <c r="L34" s="1487" t="str">
        <f t="shared" ref="L34:L45" si="17">IF($I34="PTD",$H34," ")</f>
        <v xml:space="preserve"> </v>
      </c>
      <c r="M34" s="1504" t="str">
        <f t="shared" ref="M34:M45" si="18">IF($I34="T&amp;D",$H34," ")</f>
        <v xml:space="preserve"> </v>
      </c>
      <c r="N34" s="1504" t="str">
        <f t="shared" ref="N34:N45" si="19">IF(I34="Labor",H34," ")</f>
        <v xml:space="preserve"> </v>
      </c>
    </row>
    <row r="35" spans="3:15">
      <c r="C35" s="585" t="s">
        <v>588</v>
      </c>
      <c r="D35" s="1516"/>
      <c r="E35" s="584" t="s">
        <v>970</v>
      </c>
      <c r="F35" s="563"/>
      <c r="G35" s="562" t="s">
        <v>971</v>
      </c>
      <c r="H35" s="564">
        <v>403.07</v>
      </c>
      <c r="I35" s="565" t="s">
        <v>299</v>
      </c>
      <c r="J35" s="1504" t="str">
        <f>IF(I35="e",H35," ")</f>
        <v xml:space="preserve"> </v>
      </c>
      <c r="K35" s="1487" t="str">
        <f t="shared" si="16"/>
        <v xml:space="preserve"> </v>
      </c>
      <c r="L35" s="1487" t="str">
        <f t="shared" si="17"/>
        <v xml:space="preserve"> </v>
      </c>
      <c r="M35" s="1504" t="str">
        <f t="shared" si="18"/>
        <v xml:space="preserve"> </v>
      </c>
      <c r="N35" s="1504">
        <f>IF(I35="Labor",H35," ")</f>
        <v>403.07</v>
      </c>
    </row>
    <row r="36" spans="3:15">
      <c r="C36" s="585" t="s">
        <v>588</v>
      </c>
      <c r="D36" s="1516"/>
      <c r="E36" s="584" t="s">
        <v>664</v>
      </c>
      <c r="F36" s="563"/>
      <c r="G36" s="562" t="s">
        <v>665</v>
      </c>
      <c r="H36" s="564">
        <v>-1544.34</v>
      </c>
      <c r="I36" s="565" t="s">
        <v>55</v>
      </c>
      <c r="J36" s="1504" t="str">
        <f t="shared" si="15"/>
        <v xml:space="preserve"> </v>
      </c>
      <c r="K36" s="1487">
        <f t="shared" si="16"/>
        <v>-1544.34</v>
      </c>
      <c r="L36" s="1487" t="str">
        <f t="shared" si="17"/>
        <v xml:space="preserve"> </v>
      </c>
      <c r="M36" s="1504" t="str">
        <f t="shared" si="18"/>
        <v xml:space="preserve"> </v>
      </c>
      <c r="N36" s="1504" t="str">
        <f t="shared" si="19"/>
        <v xml:space="preserve"> </v>
      </c>
    </row>
    <row r="37" spans="3:15">
      <c r="C37" s="585" t="s">
        <v>588</v>
      </c>
      <c r="D37" s="1516"/>
      <c r="E37" s="584" t="s">
        <v>972</v>
      </c>
      <c r="F37" s="563"/>
      <c r="G37" s="562" t="s">
        <v>973</v>
      </c>
      <c r="H37" s="564">
        <v>0</v>
      </c>
      <c r="I37" s="565" t="s">
        <v>290</v>
      </c>
      <c r="J37" s="1504">
        <f t="shared" si="15"/>
        <v>0</v>
      </c>
      <c r="K37" s="1487" t="str">
        <f t="shared" si="16"/>
        <v xml:space="preserve"> </v>
      </c>
      <c r="L37" s="1487" t="str">
        <f t="shared" si="17"/>
        <v xml:space="preserve"> </v>
      </c>
      <c r="M37" s="1504" t="str">
        <f t="shared" si="18"/>
        <v xml:space="preserve"> </v>
      </c>
      <c r="N37" s="1504" t="str">
        <f t="shared" si="19"/>
        <v xml:space="preserve"> </v>
      </c>
    </row>
    <row r="38" spans="3:15">
      <c r="C38" s="585" t="s">
        <v>588</v>
      </c>
      <c r="D38" s="1516"/>
      <c r="E38" s="584" t="s">
        <v>974</v>
      </c>
      <c r="F38" s="563"/>
      <c r="G38" s="562" t="s">
        <v>975</v>
      </c>
      <c r="H38" s="564">
        <v>0</v>
      </c>
      <c r="I38" s="565" t="s">
        <v>290</v>
      </c>
      <c r="J38" s="1504">
        <f t="shared" si="15"/>
        <v>0</v>
      </c>
      <c r="K38" s="1487" t="str">
        <f t="shared" si="16"/>
        <v xml:space="preserve"> </v>
      </c>
      <c r="L38" s="1487" t="str">
        <f t="shared" si="17"/>
        <v xml:space="preserve"> </v>
      </c>
      <c r="M38" s="1504" t="str">
        <f t="shared" si="18"/>
        <v xml:space="preserve"> </v>
      </c>
      <c r="N38" s="1504" t="str">
        <f t="shared" si="19"/>
        <v xml:space="preserve"> </v>
      </c>
    </row>
    <row r="39" spans="3:15">
      <c r="C39" s="585"/>
      <c r="D39" s="1516"/>
      <c r="E39" s="584"/>
      <c r="F39" s="563"/>
      <c r="G39" s="562"/>
      <c r="H39" s="564"/>
      <c r="I39" s="565"/>
      <c r="J39" s="1504" t="str">
        <f t="shared" si="15"/>
        <v xml:space="preserve"> </v>
      </c>
      <c r="K39" s="1487" t="str">
        <f t="shared" si="16"/>
        <v xml:space="preserve"> </v>
      </c>
      <c r="L39" s="1487" t="str">
        <f t="shared" si="17"/>
        <v xml:space="preserve"> </v>
      </c>
      <c r="M39" s="1504" t="str">
        <f t="shared" si="18"/>
        <v xml:space="preserve"> </v>
      </c>
      <c r="N39" s="1504" t="str">
        <f t="shared" si="19"/>
        <v xml:space="preserve"> </v>
      </c>
    </row>
    <row r="40" spans="3:15">
      <c r="C40" s="585"/>
      <c r="D40" s="1516"/>
      <c r="E40" s="584"/>
      <c r="F40" s="563"/>
      <c r="G40" s="562"/>
      <c r="H40" s="564"/>
      <c r="I40" s="565"/>
      <c r="J40" s="1504" t="str">
        <f t="shared" si="15"/>
        <v xml:space="preserve"> </v>
      </c>
      <c r="K40" s="1487" t="str">
        <f t="shared" si="16"/>
        <v xml:space="preserve"> </v>
      </c>
      <c r="L40" s="1487" t="str">
        <f t="shared" si="17"/>
        <v xml:space="preserve"> </v>
      </c>
      <c r="M40" s="1504" t="str">
        <f t="shared" si="18"/>
        <v xml:space="preserve"> </v>
      </c>
      <c r="N40" s="1504" t="str">
        <f t="shared" si="19"/>
        <v xml:space="preserve"> </v>
      </c>
    </row>
    <row r="41" spans="3:15">
      <c r="C41" s="585">
        <v>1901002</v>
      </c>
      <c r="D41" s="1516"/>
      <c r="E41" s="584" t="s">
        <v>1091</v>
      </c>
      <c r="F41" s="563"/>
      <c r="G41" s="562" t="s">
        <v>1090</v>
      </c>
      <c r="H41" s="564">
        <v>0</v>
      </c>
      <c r="I41" s="565" t="s">
        <v>290</v>
      </c>
      <c r="J41" s="1504">
        <f t="shared" si="15"/>
        <v>0</v>
      </c>
      <c r="K41" s="1487" t="str">
        <f t="shared" si="16"/>
        <v xml:space="preserve"> </v>
      </c>
      <c r="L41" s="1487" t="str">
        <f t="shared" si="17"/>
        <v xml:space="preserve"> </v>
      </c>
      <c r="M41" s="1504" t="str">
        <f t="shared" si="18"/>
        <v xml:space="preserve"> </v>
      </c>
      <c r="N41" s="1504" t="str">
        <f t="shared" si="19"/>
        <v xml:space="preserve"> </v>
      </c>
    </row>
    <row r="42" spans="3:15">
      <c r="C42" s="585">
        <v>1901002</v>
      </c>
      <c r="D42" s="1516"/>
      <c r="E42" s="584" t="s">
        <v>663</v>
      </c>
      <c r="F42" s="563"/>
      <c r="G42" s="562" t="s">
        <v>963</v>
      </c>
      <c r="H42" s="564">
        <v>119259.94</v>
      </c>
      <c r="I42" s="565" t="s">
        <v>290</v>
      </c>
      <c r="J42" s="1504">
        <f t="shared" si="15"/>
        <v>119259.94</v>
      </c>
      <c r="K42" s="1487" t="str">
        <f t="shared" si="16"/>
        <v xml:space="preserve"> </v>
      </c>
      <c r="L42" s="1487" t="str">
        <f t="shared" si="17"/>
        <v xml:space="preserve"> </v>
      </c>
      <c r="M42" s="1504" t="str">
        <f t="shared" si="18"/>
        <v xml:space="preserve"> </v>
      </c>
      <c r="N42" s="1504" t="str">
        <f t="shared" si="19"/>
        <v xml:space="preserve"> </v>
      </c>
    </row>
    <row r="43" spans="3:15">
      <c r="C43" s="585">
        <v>1901002</v>
      </c>
      <c r="D43" s="1534"/>
      <c r="E43" s="584" t="s">
        <v>1092</v>
      </c>
      <c r="F43" s="563"/>
      <c r="G43" s="562" t="s">
        <v>1093</v>
      </c>
      <c r="H43" s="564">
        <v>0</v>
      </c>
      <c r="I43" s="565" t="s">
        <v>290</v>
      </c>
      <c r="J43" s="1504">
        <f t="shared" si="15"/>
        <v>0</v>
      </c>
      <c r="K43" s="1487" t="str">
        <f t="shared" si="16"/>
        <v xml:space="preserve"> </v>
      </c>
      <c r="L43" s="1487" t="str">
        <f t="shared" si="17"/>
        <v xml:space="preserve"> </v>
      </c>
      <c r="M43" s="1504" t="str">
        <f t="shared" si="18"/>
        <v xml:space="preserve"> </v>
      </c>
      <c r="N43" s="1504" t="str">
        <f t="shared" si="19"/>
        <v xml:space="preserve"> </v>
      </c>
    </row>
    <row r="44" spans="3:15">
      <c r="C44" s="585">
        <v>1901002</v>
      </c>
      <c r="D44" s="1534"/>
      <c r="E44" s="584" t="s">
        <v>978</v>
      </c>
      <c r="F44" s="563"/>
      <c r="G44" s="562" t="s">
        <v>979</v>
      </c>
      <c r="H44" s="564">
        <v>-119259.94</v>
      </c>
      <c r="I44" s="565" t="s">
        <v>290</v>
      </c>
      <c r="J44" s="1504">
        <f t="shared" si="15"/>
        <v>-119259.94</v>
      </c>
      <c r="K44" s="1487" t="str">
        <f t="shared" si="16"/>
        <v xml:space="preserve"> </v>
      </c>
      <c r="L44" s="1487" t="str">
        <f t="shared" si="17"/>
        <v xml:space="preserve"> </v>
      </c>
      <c r="M44" s="1504" t="str">
        <f t="shared" si="18"/>
        <v xml:space="preserve"> </v>
      </c>
      <c r="N44" s="1504" t="str">
        <f t="shared" si="19"/>
        <v xml:space="preserve"> </v>
      </c>
    </row>
    <row r="45" spans="3:15">
      <c r="C45" s="585"/>
      <c r="D45" s="1534"/>
      <c r="E45" s="562"/>
      <c r="F45" s="563"/>
      <c r="G45" s="562"/>
      <c r="H45" s="564"/>
      <c r="I45" s="565"/>
      <c r="J45" s="1504" t="str">
        <f t="shared" si="15"/>
        <v xml:space="preserve"> </v>
      </c>
      <c r="K45" s="1487" t="str">
        <f t="shared" si="16"/>
        <v xml:space="preserve"> </v>
      </c>
      <c r="L45" s="1487" t="str">
        <f t="shared" si="17"/>
        <v xml:space="preserve"> </v>
      </c>
      <c r="M45" s="1504" t="str">
        <f t="shared" si="18"/>
        <v xml:space="preserve"> </v>
      </c>
      <c r="N45" s="1504" t="str">
        <f t="shared" si="19"/>
        <v xml:space="preserve"> </v>
      </c>
    </row>
    <row r="46" spans="3:15">
      <c r="C46" s="272"/>
      <c r="D46" s="1519"/>
      <c r="E46" s="272"/>
      <c r="G46" s="272"/>
      <c r="H46" s="1535"/>
      <c r="I46" s="1487"/>
      <c r="J46" s="1511"/>
      <c r="K46" s="1511"/>
      <c r="L46" s="1487"/>
      <c r="M46" s="1511"/>
      <c r="N46" s="1511"/>
    </row>
    <row r="47" spans="3:15" ht="13">
      <c r="C47" s="608">
        <v>190.1</v>
      </c>
      <c r="D47" s="279"/>
      <c r="G47" s="578" t="s">
        <v>158</v>
      </c>
      <c r="H47" s="579">
        <f>SUM(H34:H45)</f>
        <v>15279.859999999986</v>
      </c>
      <c r="J47" s="579">
        <f>SUM(J34:J45)</f>
        <v>16421.130000000005</v>
      </c>
      <c r="K47" s="579">
        <f>SUM(K34:K45)</f>
        <v>-1544.34</v>
      </c>
      <c r="L47" s="579">
        <f>SUM(L34:L45)</f>
        <v>0</v>
      </c>
      <c r="M47" s="579">
        <f>SUM(M34:M45)</f>
        <v>0</v>
      </c>
      <c r="N47" s="579">
        <f>SUM(N34:N45)</f>
        <v>403.07</v>
      </c>
      <c r="O47" s="567"/>
    </row>
    <row r="48" spans="3:15">
      <c r="G48" s="1533" t="s">
        <v>127</v>
      </c>
      <c r="H48" s="1502">
        <v>15280</v>
      </c>
      <c r="I48" s="1510"/>
    </row>
    <row r="50" spans="10:10">
      <c r="J50" s="1514"/>
    </row>
    <row r="67" spans="3:8">
      <c r="C67" s="272"/>
      <c r="D67" s="1519"/>
      <c r="E67" s="272"/>
      <c r="G67" s="272"/>
      <c r="H67" s="1409"/>
    </row>
    <row r="103" spans="3:6">
      <c r="C103" s="272"/>
      <c r="D103" s="272"/>
      <c r="E103" s="272"/>
      <c r="F103" s="1500"/>
    </row>
    <row r="104" spans="3:6">
      <c r="C104" s="272"/>
      <c r="D104" s="272"/>
      <c r="E104" s="272"/>
    </row>
    <row r="105" spans="3:6">
      <c r="C105" s="272"/>
      <c r="D105" s="272"/>
      <c r="E105" s="272"/>
    </row>
    <row r="106" spans="3:6">
      <c r="C106" s="272"/>
      <c r="D106" s="272"/>
      <c r="E106" s="272"/>
    </row>
    <row r="107" spans="3:6">
      <c r="C107" s="272"/>
      <c r="D107" s="272"/>
      <c r="E107" s="272"/>
    </row>
    <row r="108" spans="3:6">
      <c r="C108" s="272"/>
      <c r="D108" s="272"/>
      <c r="E108" s="272"/>
    </row>
    <row r="109" spans="3:6">
      <c r="C109" s="272"/>
      <c r="D109" s="272"/>
      <c r="E109" s="272"/>
    </row>
    <row r="110" spans="3:6">
      <c r="C110" s="272"/>
      <c r="D110" s="272"/>
      <c r="E110" s="272"/>
    </row>
    <row r="111" spans="3:6">
      <c r="C111" s="272"/>
      <c r="D111" s="272"/>
      <c r="E111" s="272"/>
    </row>
    <row r="112" spans="3:6">
      <c r="C112" s="272"/>
      <c r="D112" s="272"/>
      <c r="E112" s="272"/>
    </row>
    <row r="113" spans="3:5">
      <c r="C113" s="272"/>
      <c r="D113" s="272"/>
      <c r="E113" s="272"/>
    </row>
    <row r="114" spans="3:5">
      <c r="C114" s="272"/>
      <c r="D114" s="272"/>
      <c r="E114" s="272"/>
    </row>
    <row r="115" spans="3:5">
      <c r="C115" s="272"/>
      <c r="D115" s="272"/>
      <c r="E115" s="272"/>
    </row>
    <row r="116" spans="3:5">
      <c r="C116" s="272"/>
      <c r="D116" s="272"/>
      <c r="E116" s="272"/>
    </row>
    <row r="117" spans="3:5">
      <c r="C117" s="272"/>
      <c r="D117" s="272"/>
      <c r="E117" s="272"/>
    </row>
    <row r="118" spans="3:5">
      <c r="C118" s="272"/>
      <c r="D118" s="272"/>
      <c r="E118" s="272"/>
    </row>
    <row r="119" spans="3:5">
      <c r="C119" s="272"/>
      <c r="D119" s="272"/>
      <c r="E119" s="272"/>
    </row>
    <row r="120" spans="3:5">
      <c r="C120" s="272"/>
      <c r="D120" s="272"/>
      <c r="E120" s="272"/>
    </row>
    <row r="121" spans="3:5">
      <c r="C121" s="272"/>
      <c r="D121" s="272"/>
      <c r="E121" s="272"/>
    </row>
    <row r="122" spans="3:5">
      <c r="D122" s="279"/>
    </row>
    <row r="123" spans="3:5">
      <c r="D123" s="279"/>
    </row>
    <row r="124" spans="3:5">
      <c r="D124" s="279"/>
    </row>
    <row r="125" spans="3:5">
      <c r="D125" s="279"/>
    </row>
    <row r="126" spans="3:5">
      <c r="D126" s="279"/>
    </row>
    <row r="127" spans="3:5">
      <c r="D127" s="279"/>
    </row>
    <row r="128" spans="3:5">
      <c r="D128" s="279"/>
    </row>
    <row r="129" spans="1:15">
      <c r="D129" s="279"/>
    </row>
    <row r="130" spans="1:15">
      <c r="D130" s="279"/>
    </row>
    <row r="131" spans="1:15">
      <c r="D131" s="279"/>
    </row>
    <row r="132" spans="1:15">
      <c r="D132" s="279"/>
    </row>
    <row r="133" spans="1:15" s="1377" customFormat="1">
      <c r="A133" s="279"/>
      <c r="B133" s="279"/>
      <c r="C133" s="279"/>
      <c r="D133" s="279"/>
      <c r="E133" s="279"/>
      <c r="F133" s="279"/>
      <c r="G133" s="279"/>
      <c r="I133" s="279"/>
      <c r="J133" s="279"/>
      <c r="K133" s="279"/>
      <c r="L133" s="279"/>
      <c r="M133" s="279"/>
      <c r="N133" s="279"/>
      <c r="O133" s="279"/>
    </row>
    <row r="134" spans="1:15" s="1377" customFormat="1">
      <c r="A134" s="279"/>
      <c r="B134" s="279"/>
      <c r="C134" s="279"/>
      <c r="D134" s="279"/>
      <c r="E134" s="279"/>
      <c r="F134" s="279"/>
      <c r="G134" s="279"/>
      <c r="I134" s="279"/>
      <c r="J134" s="279"/>
      <c r="K134" s="279"/>
      <c r="L134" s="279"/>
      <c r="M134" s="279"/>
      <c r="N134" s="279"/>
      <c r="O134" s="279"/>
    </row>
    <row r="135" spans="1:15" s="1377" customFormat="1">
      <c r="A135" s="279"/>
      <c r="B135" s="279"/>
      <c r="C135" s="279"/>
      <c r="D135" s="279"/>
      <c r="E135" s="279"/>
      <c r="F135" s="279"/>
      <c r="G135" s="279"/>
      <c r="I135" s="279"/>
      <c r="J135" s="279"/>
      <c r="K135" s="279"/>
      <c r="L135" s="279"/>
      <c r="M135" s="279"/>
      <c r="N135" s="279"/>
      <c r="O135" s="279"/>
    </row>
    <row r="136" spans="1:15" s="1377" customFormat="1">
      <c r="A136" s="279"/>
      <c r="B136" s="279"/>
      <c r="C136" s="279"/>
      <c r="D136" s="279"/>
      <c r="E136" s="279"/>
      <c r="F136" s="279"/>
      <c r="G136" s="279"/>
      <c r="I136" s="279"/>
      <c r="J136" s="279"/>
      <c r="K136" s="279"/>
      <c r="L136" s="279"/>
      <c r="M136" s="279"/>
      <c r="N136" s="279"/>
      <c r="O136" s="279"/>
    </row>
    <row r="137" spans="1:15" s="1377" customFormat="1">
      <c r="A137" s="279"/>
      <c r="B137" s="279"/>
      <c r="C137" s="279"/>
      <c r="D137" s="279"/>
      <c r="E137" s="279"/>
      <c r="F137" s="279"/>
      <c r="G137" s="279"/>
      <c r="I137" s="279"/>
      <c r="J137" s="279"/>
      <c r="K137" s="279"/>
      <c r="L137" s="279"/>
      <c r="M137" s="279"/>
      <c r="N137" s="279"/>
      <c r="O137" s="279"/>
    </row>
    <row r="138" spans="1:15" s="1377" customFormat="1">
      <c r="A138" s="279"/>
      <c r="B138" s="279"/>
      <c r="C138" s="279"/>
      <c r="D138" s="279"/>
      <c r="E138" s="279"/>
      <c r="F138" s="279"/>
      <c r="G138" s="279"/>
      <c r="I138" s="279"/>
      <c r="J138" s="279"/>
      <c r="K138" s="279"/>
      <c r="L138" s="279"/>
      <c r="M138" s="279"/>
      <c r="N138" s="279"/>
      <c r="O138" s="279"/>
    </row>
    <row r="139" spans="1:15" s="1377" customFormat="1">
      <c r="A139" s="279"/>
      <c r="B139" s="279"/>
      <c r="C139" s="272"/>
      <c r="D139" s="1519"/>
      <c r="E139" s="272"/>
      <c r="F139" s="272"/>
      <c r="G139" s="272"/>
      <c r="I139" s="279"/>
      <c r="J139" s="279"/>
      <c r="K139" s="279"/>
      <c r="L139" s="279"/>
      <c r="M139" s="279"/>
      <c r="N139" s="279"/>
      <c r="O139" s="279"/>
    </row>
    <row r="140" spans="1:15" s="1377" customFormat="1">
      <c r="A140" s="279"/>
      <c r="B140" s="279"/>
      <c r="C140" s="272"/>
      <c r="D140" s="1519"/>
      <c r="E140" s="272"/>
      <c r="F140" s="272"/>
      <c r="G140" s="272"/>
      <c r="I140" s="279"/>
      <c r="J140" s="279"/>
      <c r="K140" s="279"/>
      <c r="L140" s="279"/>
      <c r="M140" s="279"/>
      <c r="N140" s="279"/>
      <c r="O140" s="279"/>
    </row>
    <row r="141" spans="1:15" s="1377" customFormat="1">
      <c r="A141" s="279"/>
      <c r="B141" s="279"/>
      <c r="C141" s="272"/>
      <c r="D141" s="1519"/>
      <c r="E141" s="272"/>
      <c r="F141" s="272"/>
      <c r="G141" s="272"/>
      <c r="I141" s="279"/>
      <c r="J141" s="279"/>
      <c r="K141" s="279"/>
      <c r="L141" s="279"/>
      <c r="M141" s="279"/>
      <c r="N141" s="279"/>
      <c r="O141" s="279"/>
    </row>
    <row r="142" spans="1:15" s="1377" customFormat="1">
      <c r="A142" s="279"/>
      <c r="B142" s="279"/>
      <c r="C142" s="272"/>
      <c r="D142" s="1519"/>
      <c r="E142" s="272"/>
      <c r="F142" s="272"/>
      <c r="G142" s="272"/>
      <c r="I142" s="279"/>
      <c r="J142" s="279"/>
      <c r="K142" s="279"/>
      <c r="L142" s="279"/>
      <c r="M142" s="279"/>
      <c r="N142" s="279"/>
      <c r="O142" s="279"/>
    </row>
    <row r="143" spans="1:15" s="1377" customFormat="1">
      <c r="A143" s="279"/>
      <c r="B143" s="279"/>
      <c r="C143" s="272"/>
      <c r="D143" s="1519"/>
      <c r="E143" s="272"/>
      <c r="F143" s="272"/>
      <c r="G143" s="272"/>
      <c r="I143" s="279"/>
      <c r="J143" s="279"/>
      <c r="K143" s="279"/>
      <c r="L143" s="279"/>
      <c r="M143" s="279"/>
      <c r="N143" s="279"/>
      <c r="O143" s="279"/>
    </row>
    <row r="144" spans="1:15" s="1377" customFormat="1">
      <c r="A144" s="279"/>
      <c r="B144" s="279"/>
      <c r="C144" s="272"/>
      <c r="D144" s="1519"/>
      <c r="E144" s="272"/>
      <c r="F144" s="272"/>
      <c r="G144" s="272"/>
      <c r="I144" s="279"/>
      <c r="J144" s="279"/>
      <c r="K144" s="279"/>
      <c r="L144" s="279"/>
      <c r="M144" s="279"/>
      <c r="N144" s="279"/>
      <c r="O144" s="279"/>
    </row>
  </sheetData>
  <mergeCells count="5">
    <mergeCell ref="C3:N3"/>
    <mergeCell ref="C4:N4"/>
    <mergeCell ref="C5:N5"/>
    <mergeCell ref="C6:N6"/>
    <mergeCell ref="J8:N8"/>
  </mergeCells>
  <conditionalFormatting sqref="O47 O30 O18">
    <cfRule type="cellIs" dxfId="2" priority="1" stopIfTrue="1" operator="equal">
      <formula>FALSE</formula>
    </cfRule>
  </conditionalFormatting>
  <printOptions horizontalCentered="1"/>
  <pageMargins left="0.25" right="0.25" top="1" bottom="0.25" header="0.65" footer="0.5"/>
  <pageSetup scale="53" fitToHeight="0" orientation="portrait" horizontalDpi="1200" verticalDpi="1200" r:id="rId1"/>
  <headerFooter alignWithMargins="0">
    <oddHeader xml:space="preserve">&amp;R&amp;18AEP - SPP Transco Formula Rate
TCOS - WS-C-2
Page: &amp;P of &amp;N
</oddHead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63"/>
  <sheetViews>
    <sheetView zoomScale="90" zoomScaleNormal="90" zoomScaleSheetLayoutView="90" zoomScalePageLayoutView="90" workbookViewId="0">
      <selection activeCell="E10" sqref="E10:F10"/>
    </sheetView>
  </sheetViews>
  <sheetFormatPr defaultColWidth="9.1796875" defaultRowHeight="12.5"/>
  <cols>
    <col min="1" max="1" width="9.1796875" style="397"/>
    <col min="2" max="2" width="33.7265625" style="397" customWidth="1"/>
    <col min="3" max="3" width="16" style="397" customWidth="1"/>
    <col min="4" max="4" width="16.81640625" style="397" customWidth="1"/>
    <col min="5" max="6" width="12" style="397" customWidth="1"/>
    <col min="7" max="7" width="15" style="397" customWidth="1"/>
    <col min="8" max="8" width="17.1796875" style="397" customWidth="1"/>
    <col min="9" max="9" width="16.54296875" style="397" customWidth="1"/>
    <col min="10" max="16384" width="9.1796875" style="397"/>
  </cols>
  <sheetData>
    <row r="1" spans="1:256" ht="15.5">
      <c r="A1" s="481"/>
    </row>
    <row r="3" spans="1:256" ht="18" customHeight="1">
      <c r="A3" s="2004" t="str">
        <f>+'SWT TCOS'!F4</f>
        <v xml:space="preserve">AEP West SPP Member Transmission Companies </v>
      </c>
      <c r="B3" s="2004"/>
      <c r="C3" s="2004"/>
      <c r="D3" s="2004"/>
      <c r="E3" s="2004"/>
      <c r="F3" s="2004"/>
      <c r="G3" s="2004"/>
      <c r="H3" s="2004"/>
      <c r="I3" s="2004"/>
      <c r="J3" s="613"/>
      <c r="K3" s="613"/>
      <c r="L3" s="613"/>
    </row>
    <row r="4" spans="1:256" ht="17.5">
      <c r="A4" s="2094" t="str">
        <f>+'SWT TCOS'!F8</f>
        <v>AEP SOUTHWESTERN TRANSMISSION COMPANY</v>
      </c>
      <c r="B4" s="2094"/>
      <c r="C4" s="2094"/>
      <c r="D4" s="2094"/>
      <c r="E4" s="2094"/>
      <c r="F4" s="2094"/>
      <c r="G4" s="2094"/>
      <c r="H4" s="2094"/>
      <c r="I4" s="2094"/>
      <c r="J4" s="1536"/>
      <c r="K4" s="1536"/>
      <c r="L4" s="1536"/>
    </row>
    <row r="5" spans="1:256" ht="18">
      <c r="A5" s="2089" t="s">
        <v>629</v>
      </c>
      <c r="B5" s="2089"/>
      <c r="C5" s="2089"/>
      <c r="D5" s="2089"/>
      <c r="E5" s="2089"/>
      <c r="F5" s="2089"/>
      <c r="G5" s="2089"/>
      <c r="H5" s="2089"/>
      <c r="I5" s="2089"/>
      <c r="J5" s="1536"/>
      <c r="K5" s="1536"/>
      <c r="L5" s="1536"/>
    </row>
    <row r="6" spans="1:256" ht="18">
      <c r="A6" s="2008" t="str">
        <f>"AS OF DECEMBER 31, "&amp;'SWT TCOS'!N2&amp;""</f>
        <v>AS OF DECEMBER 31, 2019</v>
      </c>
      <c r="B6" s="2008"/>
      <c r="C6" s="2008"/>
      <c r="D6" s="2008"/>
      <c r="E6" s="2008"/>
      <c r="F6" s="2008"/>
      <c r="G6" s="2008"/>
      <c r="H6" s="2008"/>
      <c r="I6" s="2008"/>
      <c r="J6" s="615"/>
      <c r="K6" s="615"/>
      <c r="L6" s="615"/>
    </row>
    <row r="7" spans="1:256" ht="15.5">
      <c r="A7" s="1537"/>
      <c r="B7" s="2095"/>
      <c r="C7" s="2095"/>
      <c r="D7" s="2095"/>
      <c r="E7" s="2095"/>
      <c r="F7" s="1538"/>
      <c r="G7" s="1538"/>
      <c r="H7" s="1538"/>
      <c r="I7" s="1538"/>
      <c r="J7" s="1537"/>
      <c r="K7" s="1537"/>
      <c r="L7" s="1537"/>
      <c r="M7" s="1537"/>
      <c r="N7" s="1537"/>
      <c r="O7" s="1537"/>
      <c r="P7" s="1537"/>
      <c r="Q7" s="1537"/>
      <c r="R7" s="1537"/>
      <c r="S7" s="1537"/>
      <c r="T7" s="1537"/>
      <c r="U7" s="1537"/>
      <c r="V7" s="1537"/>
      <c r="W7" s="1537"/>
      <c r="X7" s="1537"/>
      <c r="Y7" s="1537"/>
      <c r="Z7" s="1537"/>
      <c r="AA7" s="1537"/>
      <c r="AB7" s="1537"/>
      <c r="AC7" s="1537"/>
      <c r="AD7" s="1537"/>
      <c r="AE7" s="1537"/>
      <c r="AF7" s="1537"/>
      <c r="AG7" s="1537"/>
      <c r="AH7" s="1537"/>
      <c r="AI7" s="1537"/>
      <c r="AJ7" s="1537"/>
      <c r="AK7" s="1537"/>
      <c r="AL7" s="1537"/>
      <c r="AM7" s="1537"/>
      <c r="AN7" s="1537"/>
      <c r="AO7" s="1537"/>
      <c r="AP7" s="1537"/>
      <c r="AQ7" s="1537"/>
      <c r="AR7" s="1537"/>
      <c r="AS7" s="1537"/>
      <c r="AT7" s="1537"/>
      <c r="AU7" s="1537"/>
      <c r="AV7" s="1537"/>
      <c r="AW7" s="1537"/>
      <c r="AX7" s="1537"/>
      <c r="AY7" s="1537"/>
      <c r="AZ7" s="1537"/>
      <c r="BA7" s="1537"/>
      <c r="BB7" s="1537"/>
      <c r="BC7" s="1537"/>
      <c r="BD7" s="1537"/>
      <c r="BE7" s="1537"/>
      <c r="BF7" s="1537"/>
      <c r="BG7" s="1537"/>
      <c r="BH7" s="1537"/>
      <c r="BI7" s="1537"/>
      <c r="BJ7" s="1537"/>
      <c r="BK7" s="1537"/>
      <c r="BL7" s="1537"/>
      <c r="BM7" s="1537"/>
      <c r="BN7" s="1537"/>
      <c r="BO7" s="1537"/>
      <c r="BP7" s="1537"/>
      <c r="BQ7" s="1537"/>
      <c r="BR7" s="1537"/>
      <c r="BS7" s="1537"/>
      <c r="BT7" s="1537"/>
      <c r="BU7" s="1537"/>
      <c r="BV7" s="1537"/>
      <c r="BW7" s="1537"/>
      <c r="BX7" s="1537"/>
      <c r="BY7" s="1537"/>
      <c r="BZ7" s="1537"/>
      <c r="CA7" s="1537"/>
      <c r="CB7" s="1537"/>
      <c r="CC7" s="1537"/>
      <c r="CD7" s="1537"/>
      <c r="CE7" s="1537"/>
      <c r="CF7" s="1537"/>
      <c r="CG7" s="1537"/>
      <c r="CH7" s="1537"/>
      <c r="CI7" s="1537"/>
      <c r="CJ7" s="1537"/>
      <c r="CK7" s="1537"/>
      <c r="CL7" s="1537"/>
      <c r="CM7" s="1537"/>
      <c r="CN7" s="1537"/>
      <c r="CO7" s="1537"/>
      <c r="CP7" s="1537"/>
      <c r="CQ7" s="1537"/>
      <c r="CR7" s="1537"/>
      <c r="CS7" s="1537"/>
      <c r="CT7" s="1537"/>
      <c r="CU7" s="1537"/>
      <c r="CV7" s="1537"/>
      <c r="CW7" s="1537"/>
      <c r="CX7" s="1537"/>
      <c r="CY7" s="1537"/>
      <c r="CZ7" s="1537"/>
      <c r="DA7" s="1537"/>
      <c r="DB7" s="1537"/>
      <c r="DC7" s="1537"/>
      <c r="DD7" s="1537"/>
      <c r="DE7" s="1537"/>
      <c r="DF7" s="1537"/>
      <c r="DG7" s="1537"/>
      <c r="DH7" s="1537"/>
      <c r="DI7" s="1537"/>
      <c r="DJ7" s="1537"/>
      <c r="DK7" s="1537"/>
      <c r="DL7" s="1537"/>
      <c r="DM7" s="1537"/>
      <c r="DN7" s="1537"/>
      <c r="DO7" s="1537"/>
      <c r="DP7" s="1537"/>
      <c r="DQ7" s="1537"/>
      <c r="DR7" s="1537"/>
      <c r="DS7" s="1537"/>
      <c r="DT7" s="1537"/>
      <c r="DU7" s="1537"/>
      <c r="DV7" s="1537"/>
      <c r="DW7" s="1537"/>
      <c r="DX7" s="1537"/>
      <c r="DY7" s="1537"/>
      <c r="DZ7" s="1537"/>
      <c r="EA7" s="1537"/>
      <c r="EB7" s="1537"/>
      <c r="EC7" s="1537"/>
      <c r="ED7" s="1537"/>
      <c r="EE7" s="1537"/>
      <c r="EF7" s="1537"/>
      <c r="EG7" s="1537"/>
      <c r="EH7" s="1537"/>
      <c r="EI7" s="1537"/>
      <c r="EJ7" s="1537"/>
      <c r="EK7" s="1537"/>
      <c r="EL7" s="1537"/>
      <c r="EM7" s="1537"/>
      <c r="EN7" s="1537"/>
      <c r="EO7" s="1537"/>
      <c r="EP7" s="1537"/>
      <c r="EQ7" s="1537"/>
      <c r="ER7" s="1537"/>
      <c r="ES7" s="1537"/>
      <c r="ET7" s="1537"/>
      <c r="EU7" s="1537"/>
      <c r="EV7" s="1537"/>
      <c r="EW7" s="1537"/>
      <c r="EX7" s="1537"/>
      <c r="EY7" s="1537"/>
      <c r="EZ7" s="1537"/>
      <c r="FA7" s="1537"/>
      <c r="FB7" s="1537"/>
      <c r="FC7" s="1537"/>
      <c r="FD7" s="1537"/>
      <c r="FE7" s="1537"/>
      <c r="FF7" s="1537"/>
      <c r="FG7" s="1537"/>
      <c r="FH7" s="1537"/>
      <c r="FI7" s="1537"/>
      <c r="FJ7" s="1537"/>
      <c r="FK7" s="1537"/>
      <c r="FL7" s="1537"/>
      <c r="FM7" s="1537"/>
      <c r="FN7" s="1537"/>
      <c r="FO7" s="1537"/>
      <c r="FP7" s="1537"/>
      <c r="FQ7" s="1537"/>
      <c r="FR7" s="1537"/>
      <c r="FS7" s="1537"/>
      <c r="FT7" s="1537"/>
      <c r="FU7" s="1537"/>
      <c r="FV7" s="1537"/>
      <c r="FW7" s="1537"/>
      <c r="FX7" s="1537"/>
      <c r="FY7" s="1537"/>
      <c r="FZ7" s="1537"/>
      <c r="GA7" s="1537"/>
      <c r="GB7" s="1537"/>
      <c r="GC7" s="1537"/>
      <c r="GD7" s="1537"/>
      <c r="GE7" s="1537"/>
      <c r="GF7" s="1537"/>
      <c r="GG7" s="1537"/>
      <c r="GH7" s="1537"/>
      <c r="GI7" s="1537"/>
      <c r="GJ7" s="1537"/>
      <c r="GK7" s="1537"/>
      <c r="GL7" s="1537"/>
      <c r="GM7" s="1537"/>
      <c r="GN7" s="1537"/>
      <c r="GO7" s="1537"/>
      <c r="GP7" s="1537"/>
      <c r="GQ7" s="1537"/>
      <c r="GR7" s="1537"/>
      <c r="GS7" s="1537"/>
      <c r="GT7" s="1537"/>
      <c r="GU7" s="1537"/>
      <c r="GV7" s="1537"/>
      <c r="GW7" s="1537"/>
      <c r="GX7" s="1537"/>
      <c r="GY7" s="1537"/>
      <c r="GZ7" s="1537"/>
      <c r="HA7" s="1537"/>
      <c r="HB7" s="1537"/>
      <c r="HC7" s="1537"/>
      <c r="HD7" s="1537"/>
      <c r="HE7" s="1537"/>
      <c r="HF7" s="1537"/>
      <c r="HG7" s="1537"/>
      <c r="HH7" s="1537"/>
      <c r="HI7" s="1537"/>
      <c r="HJ7" s="1537"/>
      <c r="HK7" s="1537"/>
      <c r="HL7" s="1537"/>
      <c r="HM7" s="1537"/>
      <c r="HN7" s="1537"/>
      <c r="HO7" s="1537"/>
      <c r="HP7" s="1537"/>
      <c r="HQ7" s="1537"/>
      <c r="HR7" s="1537"/>
      <c r="HS7" s="1537"/>
      <c r="HT7" s="1537"/>
      <c r="HU7" s="1537"/>
      <c r="HV7" s="1537"/>
      <c r="HW7" s="1537"/>
      <c r="HX7" s="1537"/>
      <c r="HY7" s="1537"/>
      <c r="HZ7" s="1537"/>
      <c r="IA7" s="1537"/>
      <c r="IB7" s="1537"/>
      <c r="IC7" s="1537"/>
      <c r="ID7" s="1537"/>
      <c r="IE7" s="1537"/>
      <c r="IF7" s="1537"/>
      <c r="IG7" s="1537"/>
      <c r="IH7" s="1537"/>
      <c r="II7" s="1537"/>
      <c r="IJ7" s="1537"/>
      <c r="IK7" s="1537"/>
      <c r="IL7" s="1537"/>
      <c r="IM7" s="1537"/>
      <c r="IN7" s="1537"/>
      <c r="IO7" s="1537"/>
      <c r="IP7" s="1537"/>
      <c r="IQ7" s="1537"/>
      <c r="IR7" s="1537"/>
      <c r="IS7" s="1537"/>
      <c r="IT7" s="1537"/>
      <c r="IU7" s="1537"/>
      <c r="IV7" s="1537"/>
    </row>
    <row r="8" spans="1:256" ht="57" customHeight="1">
      <c r="A8" s="2096" t="s">
        <v>615</v>
      </c>
      <c r="B8" s="2096"/>
      <c r="C8" s="2096"/>
      <c r="D8" s="2096"/>
      <c r="E8" s="2096"/>
      <c r="F8" s="2096"/>
      <c r="G8" s="2096"/>
      <c r="H8" s="2096"/>
      <c r="I8" s="2096"/>
      <c r="J8" s="1537"/>
      <c r="K8" s="1537"/>
      <c r="L8" s="1537"/>
      <c r="M8" s="1537"/>
      <c r="N8" s="1537"/>
      <c r="O8" s="1537"/>
      <c r="P8" s="1537"/>
      <c r="Q8" s="1537"/>
      <c r="R8" s="1537"/>
      <c r="S8" s="1537"/>
      <c r="T8" s="1537"/>
      <c r="U8" s="1537"/>
      <c r="V8" s="1537"/>
      <c r="W8" s="1537"/>
      <c r="X8" s="1537"/>
      <c r="Y8" s="1537"/>
      <c r="Z8" s="1537"/>
      <c r="AA8" s="1537"/>
      <c r="AB8" s="1537"/>
      <c r="AC8" s="1537"/>
      <c r="AD8" s="1537"/>
      <c r="AE8" s="1537"/>
      <c r="AF8" s="1537"/>
      <c r="AG8" s="1537"/>
      <c r="AH8" s="1537"/>
      <c r="AI8" s="1537"/>
      <c r="AJ8" s="1537"/>
      <c r="AK8" s="1537"/>
      <c r="AL8" s="1537"/>
      <c r="AM8" s="1537"/>
      <c r="AN8" s="1537"/>
      <c r="AO8" s="1537"/>
      <c r="AP8" s="1537"/>
      <c r="AQ8" s="1537"/>
      <c r="AR8" s="1537"/>
      <c r="AS8" s="1537"/>
      <c r="AT8" s="1537"/>
      <c r="AU8" s="1537"/>
      <c r="AV8" s="1537"/>
      <c r="AW8" s="1537"/>
      <c r="AX8" s="1537"/>
      <c r="AY8" s="1537"/>
      <c r="AZ8" s="1537"/>
      <c r="BA8" s="1537"/>
      <c r="BB8" s="1537"/>
      <c r="BC8" s="1537"/>
      <c r="BD8" s="1537"/>
      <c r="BE8" s="1537"/>
      <c r="BF8" s="1537"/>
      <c r="BG8" s="1537"/>
      <c r="BH8" s="1537"/>
      <c r="BI8" s="1537"/>
      <c r="BJ8" s="1537"/>
      <c r="BK8" s="1537"/>
      <c r="BL8" s="1537"/>
      <c r="BM8" s="1537"/>
      <c r="BN8" s="1537"/>
      <c r="BO8" s="1537"/>
      <c r="BP8" s="1537"/>
      <c r="BQ8" s="1537"/>
      <c r="BR8" s="1537"/>
      <c r="BS8" s="1537"/>
      <c r="BT8" s="1537"/>
      <c r="BU8" s="1537"/>
      <c r="BV8" s="1537"/>
      <c r="BW8" s="1537"/>
      <c r="BX8" s="1537"/>
      <c r="BY8" s="1537"/>
      <c r="BZ8" s="1537"/>
      <c r="CA8" s="1537"/>
      <c r="CB8" s="1537"/>
      <c r="CC8" s="1537"/>
      <c r="CD8" s="1537"/>
      <c r="CE8" s="1537"/>
      <c r="CF8" s="1537"/>
      <c r="CG8" s="1537"/>
      <c r="CH8" s="1537"/>
      <c r="CI8" s="1537"/>
      <c r="CJ8" s="1537"/>
      <c r="CK8" s="1537"/>
      <c r="CL8" s="1537"/>
      <c r="CM8" s="1537"/>
      <c r="CN8" s="1537"/>
      <c r="CO8" s="1537"/>
      <c r="CP8" s="1537"/>
      <c r="CQ8" s="1537"/>
      <c r="CR8" s="1537"/>
      <c r="CS8" s="1537"/>
      <c r="CT8" s="1537"/>
      <c r="CU8" s="1537"/>
      <c r="CV8" s="1537"/>
      <c r="CW8" s="1537"/>
      <c r="CX8" s="1537"/>
      <c r="CY8" s="1537"/>
      <c r="CZ8" s="1537"/>
      <c r="DA8" s="1537"/>
      <c r="DB8" s="1537"/>
      <c r="DC8" s="1537"/>
      <c r="DD8" s="1537"/>
      <c r="DE8" s="1537"/>
      <c r="DF8" s="1537"/>
      <c r="DG8" s="1537"/>
      <c r="DH8" s="1537"/>
      <c r="DI8" s="1537"/>
      <c r="DJ8" s="1537"/>
      <c r="DK8" s="1537"/>
      <c r="DL8" s="1537"/>
      <c r="DM8" s="1537"/>
      <c r="DN8" s="1537"/>
      <c r="DO8" s="1537"/>
      <c r="DP8" s="1537"/>
      <c r="DQ8" s="1537"/>
      <c r="DR8" s="1537"/>
      <c r="DS8" s="1537"/>
      <c r="DT8" s="1537"/>
      <c r="DU8" s="1537"/>
      <c r="DV8" s="1537"/>
      <c r="DW8" s="1537"/>
      <c r="DX8" s="1537"/>
      <c r="DY8" s="1537"/>
      <c r="DZ8" s="1537"/>
      <c r="EA8" s="1537"/>
      <c r="EB8" s="1537"/>
      <c r="EC8" s="1537"/>
      <c r="ED8" s="1537"/>
      <c r="EE8" s="1537"/>
      <c r="EF8" s="1537"/>
      <c r="EG8" s="1537"/>
      <c r="EH8" s="1537"/>
      <c r="EI8" s="1537"/>
      <c r="EJ8" s="1537"/>
      <c r="EK8" s="1537"/>
      <c r="EL8" s="1537"/>
      <c r="EM8" s="1537"/>
      <c r="EN8" s="1537"/>
      <c r="EO8" s="1537"/>
      <c r="EP8" s="1537"/>
      <c r="EQ8" s="1537"/>
      <c r="ER8" s="1537"/>
      <c r="ES8" s="1537"/>
      <c r="ET8" s="1537"/>
      <c r="EU8" s="1537"/>
      <c r="EV8" s="1537"/>
      <c r="EW8" s="1537"/>
      <c r="EX8" s="1537"/>
      <c r="EY8" s="1537"/>
      <c r="EZ8" s="1537"/>
      <c r="FA8" s="1537"/>
      <c r="FB8" s="1537"/>
      <c r="FC8" s="1537"/>
      <c r="FD8" s="1537"/>
      <c r="FE8" s="1537"/>
      <c r="FF8" s="1537"/>
      <c r="FG8" s="1537"/>
      <c r="FH8" s="1537"/>
      <c r="FI8" s="1537"/>
      <c r="FJ8" s="1537"/>
      <c r="FK8" s="1537"/>
      <c r="FL8" s="1537"/>
      <c r="FM8" s="1537"/>
      <c r="FN8" s="1537"/>
      <c r="FO8" s="1537"/>
      <c r="FP8" s="1537"/>
      <c r="FQ8" s="1537"/>
      <c r="FR8" s="1537"/>
      <c r="FS8" s="1537"/>
      <c r="FT8" s="1537"/>
      <c r="FU8" s="1537"/>
      <c r="FV8" s="1537"/>
      <c r="FW8" s="1537"/>
      <c r="FX8" s="1537"/>
      <c r="FY8" s="1537"/>
      <c r="FZ8" s="1537"/>
      <c r="GA8" s="1537"/>
      <c r="GB8" s="1537"/>
      <c r="GC8" s="1537"/>
      <c r="GD8" s="1537"/>
      <c r="GE8" s="1537"/>
      <c r="GF8" s="1537"/>
      <c r="GG8" s="1537"/>
      <c r="GH8" s="1537"/>
      <c r="GI8" s="1537"/>
      <c r="GJ8" s="1537"/>
      <c r="GK8" s="1537"/>
      <c r="GL8" s="1537"/>
      <c r="GM8" s="1537"/>
      <c r="GN8" s="1537"/>
      <c r="GO8" s="1537"/>
      <c r="GP8" s="1537"/>
      <c r="GQ8" s="1537"/>
      <c r="GR8" s="1537"/>
      <c r="GS8" s="1537"/>
      <c r="GT8" s="1537"/>
      <c r="GU8" s="1537"/>
      <c r="GV8" s="1537"/>
      <c r="GW8" s="1537"/>
      <c r="GX8" s="1537"/>
      <c r="GY8" s="1537"/>
      <c r="GZ8" s="1537"/>
      <c r="HA8" s="1537"/>
      <c r="HB8" s="1537"/>
      <c r="HC8" s="1537"/>
      <c r="HD8" s="1537"/>
      <c r="HE8" s="1537"/>
      <c r="HF8" s="1537"/>
      <c r="HG8" s="1537"/>
      <c r="HH8" s="1537"/>
      <c r="HI8" s="1537"/>
      <c r="HJ8" s="1537"/>
      <c r="HK8" s="1537"/>
      <c r="HL8" s="1537"/>
      <c r="HM8" s="1537"/>
      <c r="HN8" s="1537"/>
      <c r="HO8" s="1537"/>
      <c r="HP8" s="1537"/>
      <c r="HQ8" s="1537"/>
      <c r="HR8" s="1537"/>
      <c r="HS8" s="1537"/>
      <c r="HT8" s="1537"/>
      <c r="HU8" s="1537"/>
      <c r="HV8" s="1537"/>
      <c r="HW8" s="1537"/>
      <c r="HX8" s="1537"/>
      <c r="HY8" s="1537"/>
      <c r="HZ8" s="1537"/>
      <c r="IA8" s="1537"/>
      <c r="IB8" s="1537"/>
      <c r="IC8" s="1537"/>
      <c r="ID8" s="1537"/>
      <c r="IE8" s="1537"/>
      <c r="IF8" s="1537"/>
      <c r="IG8" s="1537"/>
      <c r="IH8" s="1537"/>
      <c r="II8" s="1537"/>
      <c r="IJ8" s="1537"/>
      <c r="IK8" s="1537"/>
      <c r="IL8" s="1537"/>
      <c r="IM8" s="1537"/>
      <c r="IN8" s="1537"/>
      <c r="IO8" s="1537"/>
      <c r="IP8" s="1537"/>
      <c r="IQ8" s="1537"/>
      <c r="IR8" s="1537"/>
      <c r="IS8" s="1537"/>
      <c r="IT8" s="1537"/>
      <c r="IU8" s="1537"/>
      <c r="IV8" s="1537"/>
    </row>
    <row r="9" spans="1:256">
      <c r="B9" s="1539"/>
      <c r="C9" s="1539"/>
      <c r="D9" s="1539"/>
      <c r="E9" s="1539"/>
      <c r="F9" s="1539"/>
      <c r="G9" s="1539"/>
      <c r="H9" s="1539"/>
      <c r="I9" s="1539"/>
      <c r="J9" s="1537"/>
      <c r="K9" s="1537"/>
      <c r="L9" s="1537"/>
      <c r="M9" s="1537"/>
      <c r="N9" s="1537"/>
      <c r="O9" s="1537"/>
      <c r="P9" s="1537"/>
      <c r="Q9" s="1537"/>
      <c r="R9" s="1537"/>
      <c r="S9" s="1537"/>
      <c r="T9" s="1537"/>
      <c r="U9" s="1537"/>
      <c r="V9" s="1537"/>
      <c r="W9" s="1537"/>
      <c r="X9" s="1537"/>
      <c r="Y9" s="1537"/>
      <c r="Z9" s="1537"/>
      <c r="AA9" s="1537"/>
      <c r="AB9" s="1537"/>
      <c r="AC9" s="1537"/>
      <c r="AD9" s="1537"/>
      <c r="AE9" s="1537"/>
      <c r="AF9" s="1537"/>
      <c r="AG9" s="1537"/>
      <c r="AH9" s="1537"/>
      <c r="AI9" s="1537"/>
      <c r="AJ9" s="1537"/>
      <c r="AK9" s="1537"/>
      <c r="AL9" s="1537"/>
      <c r="AM9" s="1537"/>
      <c r="AN9" s="1537"/>
      <c r="AO9" s="1537"/>
      <c r="AP9" s="1537"/>
      <c r="AQ9" s="1537"/>
      <c r="AR9" s="1537"/>
      <c r="AS9" s="1537"/>
      <c r="AT9" s="1537"/>
      <c r="AU9" s="1537"/>
      <c r="AV9" s="1537"/>
      <c r="AW9" s="1537"/>
      <c r="AX9" s="1537"/>
      <c r="AY9" s="1537"/>
      <c r="AZ9" s="1537"/>
      <c r="BA9" s="1537"/>
      <c r="BB9" s="1537"/>
      <c r="BC9" s="1537"/>
      <c r="BD9" s="1537"/>
      <c r="BE9" s="1537"/>
      <c r="BF9" s="1537"/>
      <c r="BG9" s="1537"/>
      <c r="BH9" s="1537"/>
      <c r="BI9" s="1537"/>
      <c r="BJ9" s="1537"/>
      <c r="BK9" s="1537"/>
      <c r="BL9" s="1537"/>
      <c r="BM9" s="1537"/>
      <c r="BN9" s="1537"/>
      <c r="BO9" s="1537"/>
      <c r="BP9" s="1537"/>
      <c r="BQ9" s="1537"/>
      <c r="BR9" s="1537"/>
      <c r="BS9" s="1537"/>
      <c r="BT9" s="1537"/>
      <c r="BU9" s="1537"/>
      <c r="BV9" s="1537"/>
      <c r="BW9" s="1537"/>
      <c r="BX9" s="1537"/>
      <c r="BY9" s="1537"/>
      <c r="BZ9" s="1537"/>
      <c r="CA9" s="1537"/>
      <c r="CB9" s="1537"/>
      <c r="CC9" s="1537"/>
      <c r="CD9" s="1537"/>
      <c r="CE9" s="1537"/>
      <c r="CF9" s="1537"/>
      <c r="CG9" s="1537"/>
      <c r="CH9" s="1537"/>
      <c r="CI9" s="1537"/>
      <c r="CJ9" s="1537"/>
      <c r="CK9" s="1537"/>
      <c r="CL9" s="1537"/>
      <c r="CM9" s="1537"/>
      <c r="CN9" s="1537"/>
      <c r="CO9" s="1537"/>
      <c r="CP9" s="1537"/>
      <c r="CQ9" s="1537"/>
      <c r="CR9" s="1537"/>
      <c r="CS9" s="1537"/>
      <c r="CT9" s="1537"/>
      <c r="CU9" s="1537"/>
      <c r="CV9" s="1537"/>
      <c r="CW9" s="1537"/>
      <c r="CX9" s="1537"/>
      <c r="CY9" s="1537"/>
      <c r="CZ9" s="1537"/>
      <c r="DA9" s="1537"/>
      <c r="DB9" s="1537"/>
      <c r="DC9" s="1537"/>
      <c r="DD9" s="1537"/>
      <c r="DE9" s="1537"/>
      <c r="DF9" s="1537"/>
      <c r="DG9" s="1537"/>
      <c r="DH9" s="1537"/>
      <c r="DI9" s="1537"/>
      <c r="DJ9" s="1537"/>
      <c r="DK9" s="1537"/>
      <c r="DL9" s="1537"/>
      <c r="DM9" s="1537"/>
      <c r="DN9" s="1537"/>
      <c r="DO9" s="1537"/>
      <c r="DP9" s="1537"/>
      <c r="DQ9" s="1537"/>
      <c r="DR9" s="1537"/>
      <c r="DS9" s="1537"/>
      <c r="DT9" s="1537"/>
      <c r="DU9" s="1537"/>
      <c r="DV9" s="1537"/>
      <c r="DW9" s="1537"/>
      <c r="DX9" s="1537"/>
      <c r="DY9" s="1537"/>
      <c r="DZ9" s="1537"/>
      <c r="EA9" s="1537"/>
      <c r="EB9" s="1537"/>
      <c r="EC9" s="1537"/>
      <c r="ED9" s="1537"/>
      <c r="EE9" s="1537"/>
      <c r="EF9" s="1537"/>
      <c r="EG9" s="1537"/>
      <c r="EH9" s="1537"/>
      <c r="EI9" s="1537"/>
      <c r="EJ9" s="1537"/>
      <c r="EK9" s="1537"/>
      <c r="EL9" s="1537"/>
      <c r="EM9" s="1537"/>
      <c r="EN9" s="1537"/>
      <c r="EO9" s="1537"/>
      <c r="EP9" s="1537"/>
      <c r="EQ9" s="1537"/>
      <c r="ER9" s="1537"/>
      <c r="ES9" s="1537"/>
      <c r="ET9" s="1537"/>
      <c r="EU9" s="1537"/>
      <c r="EV9" s="1537"/>
      <c r="EW9" s="1537"/>
      <c r="EX9" s="1537"/>
      <c r="EY9" s="1537"/>
      <c r="EZ9" s="1537"/>
      <c r="FA9" s="1537"/>
      <c r="FB9" s="1537"/>
      <c r="FC9" s="1537"/>
      <c r="FD9" s="1537"/>
      <c r="FE9" s="1537"/>
      <c r="FF9" s="1537"/>
      <c r="FG9" s="1537"/>
      <c r="FH9" s="1537"/>
      <c r="FI9" s="1537"/>
      <c r="FJ9" s="1537"/>
      <c r="FK9" s="1537"/>
      <c r="FL9" s="1537"/>
      <c r="FM9" s="1537"/>
      <c r="FN9" s="1537"/>
      <c r="FO9" s="1537"/>
      <c r="FP9" s="1537"/>
      <c r="FQ9" s="1537"/>
      <c r="FR9" s="1537"/>
      <c r="FS9" s="1537"/>
      <c r="FT9" s="1537"/>
      <c r="FU9" s="1537"/>
      <c r="FV9" s="1537"/>
      <c r="FW9" s="1537"/>
      <c r="FX9" s="1537"/>
      <c r="FY9" s="1537"/>
      <c r="FZ9" s="1537"/>
      <c r="GA9" s="1537"/>
      <c r="GB9" s="1537"/>
      <c r="GC9" s="1537"/>
      <c r="GD9" s="1537"/>
      <c r="GE9" s="1537"/>
      <c r="GF9" s="1537"/>
      <c r="GG9" s="1537"/>
      <c r="GH9" s="1537"/>
      <c r="GI9" s="1537"/>
      <c r="GJ9" s="1537"/>
      <c r="GK9" s="1537"/>
      <c r="GL9" s="1537"/>
      <c r="GM9" s="1537"/>
      <c r="GN9" s="1537"/>
      <c r="GO9" s="1537"/>
      <c r="GP9" s="1537"/>
      <c r="GQ9" s="1537"/>
      <c r="GR9" s="1537"/>
      <c r="GS9" s="1537"/>
      <c r="GT9" s="1537"/>
      <c r="GU9" s="1537"/>
      <c r="GV9" s="1537"/>
      <c r="GW9" s="1537"/>
      <c r="GX9" s="1537"/>
      <c r="GY9" s="1537"/>
      <c r="GZ9" s="1537"/>
      <c r="HA9" s="1537"/>
      <c r="HB9" s="1537"/>
      <c r="HC9" s="1537"/>
      <c r="HD9" s="1537"/>
      <c r="HE9" s="1537"/>
      <c r="HF9" s="1537"/>
      <c r="HG9" s="1537"/>
      <c r="HH9" s="1537"/>
      <c r="HI9" s="1537"/>
      <c r="HJ9" s="1537"/>
      <c r="HK9" s="1537"/>
      <c r="HL9" s="1537"/>
      <c r="HM9" s="1537"/>
      <c r="HN9" s="1537"/>
      <c r="HO9" s="1537"/>
      <c r="HP9" s="1537"/>
      <c r="HQ9" s="1537"/>
      <c r="HR9" s="1537"/>
      <c r="HS9" s="1537"/>
      <c r="HT9" s="1537"/>
      <c r="HU9" s="1537"/>
      <c r="HV9" s="1537"/>
      <c r="HW9" s="1537"/>
      <c r="HX9" s="1537"/>
      <c r="HY9" s="1537"/>
      <c r="HZ9" s="1537"/>
      <c r="IA9" s="1537"/>
      <c r="IB9" s="1537"/>
      <c r="IC9" s="1537"/>
      <c r="ID9" s="1537"/>
      <c r="IE9" s="1537"/>
      <c r="IF9" s="1537"/>
      <c r="IG9" s="1537"/>
      <c r="IH9" s="1537"/>
      <c r="II9" s="1537"/>
      <c r="IJ9" s="1537"/>
      <c r="IK9" s="1537"/>
      <c r="IL9" s="1537"/>
      <c r="IM9" s="1537"/>
      <c r="IN9" s="1537"/>
      <c r="IO9" s="1537"/>
      <c r="IP9" s="1537"/>
      <c r="IQ9" s="1537"/>
      <c r="IR9" s="1537"/>
      <c r="IS9" s="1537"/>
      <c r="IT9" s="1537"/>
      <c r="IU9" s="1537"/>
      <c r="IV9" s="1537"/>
    </row>
    <row r="10" spans="1:256">
      <c r="A10" s="1540" t="s">
        <v>614</v>
      </c>
      <c r="B10" s="1539"/>
      <c r="C10" s="1537"/>
      <c r="D10" s="1539"/>
      <c r="E10" s="2092" t="s">
        <v>344</v>
      </c>
      <c r="F10" s="2092"/>
      <c r="G10" s="1539"/>
      <c r="H10" s="1539"/>
      <c r="I10" s="1539"/>
      <c r="J10" s="1537"/>
      <c r="K10" s="1537"/>
      <c r="L10" s="1537"/>
      <c r="M10" s="1537"/>
      <c r="N10" s="1537"/>
      <c r="O10" s="1537"/>
      <c r="P10" s="1537"/>
      <c r="Q10" s="1537"/>
      <c r="R10" s="1537"/>
      <c r="S10" s="1537"/>
      <c r="T10" s="1537"/>
      <c r="U10" s="1537"/>
      <c r="V10" s="1537"/>
      <c r="W10" s="1537"/>
      <c r="X10" s="1537"/>
      <c r="Y10" s="1537"/>
      <c r="Z10" s="1537"/>
      <c r="AA10" s="1537"/>
      <c r="AB10" s="1537"/>
      <c r="AC10" s="1537"/>
      <c r="AD10" s="1537"/>
      <c r="AE10" s="1537"/>
      <c r="AF10" s="1537"/>
      <c r="AG10" s="1537"/>
      <c r="AH10" s="1537"/>
      <c r="AI10" s="1537"/>
      <c r="AJ10" s="1537"/>
      <c r="AK10" s="1537"/>
      <c r="AL10" s="1537"/>
      <c r="AM10" s="1537"/>
      <c r="AN10" s="1537"/>
      <c r="AO10" s="1537"/>
      <c r="AP10" s="1537"/>
      <c r="AQ10" s="1537"/>
      <c r="AR10" s="1537"/>
      <c r="AS10" s="1537"/>
      <c r="AT10" s="1537"/>
      <c r="AU10" s="1537"/>
      <c r="AV10" s="1537"/>
      <c r="AW10" s="1537"/>
      <c r="AX10" s="1537"/>
      <c r="AY10" s="1537"/>
      <c r="AZ10" s="1537"/>
      <c r="BA10" s="1537"/>
      <c r="BB10" s="1537"/>
      <c r="BC10" s="1537"/>
      <c r="BD10" s="1537"/>
      <c r="BE10" s="1537"/>
      <c r="BF10" s="1537"/>
      <c r="BG10" s="1537"/>
      <c r="BH10" s="1537"/>
      <c r="BI10" s="1537"/>
      <c r="BJ10" s="1537"/>
      <c r="BK10" s="1537"/>
      <c r="BL10" s="1537"/>
      <c r="BM10" s="1537"/>
      <c r="BN10" s="1537"/>
      <c r="BO10" s="1537"/>
      <c r="BP10" s="1537"/>
      <c r="BQ10" s="1537"/>
      <c r="BR10" s="1537"/>
      <c r="BS10" s="1537"/>
      <c r="BT10" s="1537"/>
      <c r="BU10" s="1537"/>
      <c r="BV10" s="1537"/>
      <c r="BW10" s="1537"/>
      <c r="BX10" s="1537"/>
      <c r="BY10" s="1537"/>
      <c r="BZ10" s="1537"/>
      <c r="CA10" s="1537"/>
      <c r="CB10" s="1537"/>
      <c r="CC10" s="1537"/>
      <c r="CD10" s="1537"/>
      <c r="CE10" s="1537"/>
      <c r="CF10" s="1537"/>
      <c r="CG10" s="1537"/>
      <c r="CH10" s="1537"/>
      <c r="CI10" s="1537"/>
      <c r="CJ10" s="1537"/>
      <c r="CK10" s="1537"/>
      <c r="CL10" s="1537"/>
      <c r="CM10" s="1537"/>
      <c r="CN10" s="1537"/>
      <c r="CO10" s="1537"/>
      <c r="CP10" s="1537"/>
      <c r="CQ10" s="1537"/>
      <c r="CR10" s="1537"/>
      <c r="CS10" s="1537"/>
      <c r="CT10" s="1537"/>
      <c r="CU10" s="1537"/>
      <c r="CV10" s="1537"/>
      <c r="CW10" s="1537"/>
      <c r="CX10" s="1537"/>
      <c r="CY10" s="1537"/>
      <c r="CZ10" s="1537"/>
      <c r="DA10" s="1537"/>
      <c r="DB10" s="1537"/>
      <c r="DC10" s="1537"/>
      <c r="DD10" s="1537"/>
      <c r="DE10" s="1537"/>
      <c r="DF10" s="1537"/>
      <c r="DG10" s="1537"/>
      <c r="DH10" s="1537"/>
      <c r="DI10" s="1537"/>
      <c r="DJ10" s="1537"/>
      <c r="DK10" s="1537"/>
      <c r="DL10" s="1537"/>
      <c r="DM10" s="1537"/>
      <c r="DN10" s="1537"/>
      <c r="DO10" s="1537"/>
      <c r="DP10" s="1537"/>
      <c r="DQ10" s="1537"/>
      <c r="DR10" s="1537"/>
      <c r="DS10" s="1537"/>
      <c r="DT10" s="1537"/>
      <c r="DU10" s="1537"/>
      <c r="DV10" s="1537"/>
      <c r="DW10" s="1537"/>
      <c r="DX10" s="1537"/>
      <c r="DY10" s="1537"/>
      <c r="DZ10" s="1537"/>
      <c r="EA10" s="1537"/>
      <c r="EB10" s="1537"/>
      <c r="EC10" s="1537"/>
      <c r="ED10" s="1537"/>
      <c r="EE10" s="1537"/>
      <c r="EF10" s="1537"/>
      <c r="EG10" s="1537"/>
      <c r="EH10" s="1537"/>
      <c r="EI10" s="1537"/>
      <c r="EJ10" s="1537"/>
      <c r="EK10" s="1537"/>
      <c r="EL10" s="1537"/>
      <c r="EM10" s="1537"/>
      <c r="EN10" s="1537"/>
      <c r="EO10" s="1537"/>
      <c r="EP10" s="1537"/>
      <c r="EQ10" s="1537"/>
      <c r="ER10" s="1537"/>
      <c r="ES10" s="1537"/>
      <c r="ET10" s="1537"/>
      <c r="EU10" s="1537"/>
      <c r="EV10" s="1537"/>
      <c r="EW10" s="1537"/>
      <c r="EX10" s="1537"/>
      <c r="EY10" s="1537"/>
      <c r="EZ10" s="1537"/>
      <c r="FA10" s="1537"/>
      <c r="FB10" s="1537"/>
      <c r="FC10" s="1537"/>
      <c r="FD10" s="1537"/>
      <c r="FE10" s="1537"/>
      <c r="FF10" s="1537"/>
      <c r="FG10" s="1537"/>
      <c r="FH10" s="1537"/>
      <c r="FI10" s="1537"/>
      <c r="FJ10" s="1537"/>
      <c r="FK10" s="1537"/>
      <c r="FL10" s="1537"/>
      <c r="FM10" s="1537"/>
      <c r="FN10" s="1537"/>
      <c r="FO10" s="1537"/>
      <c r="FP10" s="1537"/>
      <c r="FQ10" s="1537"/>
      <c r="FR10" s="1537"/>
      <c r="FS10" s="1537"/>
      <c r="FT10" s="1537"/>
      <c r="FU10" s="1537"/>
      <c r="FV10" s="1537"/>
      <c r="FW10" s="1537"/>
      <c r="FX10" s="1537"/>
      <c r="FY10" s="1537"/>
      <c r="FZ10" s="1537"/>
      <c r="GA10" s="1537"/>
      <c r="GB10" s="1537"/>
      <c r="GC10" s="1537"/>
      <c r="GD10" s="1537"/>
      <c r="GE10" s="1537"/>
      <c r="GF10" s="1537"/>
      <c r="GG10" s="1537"/>
      <c r="GH10" s="1537"/>
      <c r="GI10" s="1537"/>
      <c r="GJ10" s="1537"/>
      <c r="GK10" s="1537"/>
      <c r="GL10" s="1537"/>
      <c r="GM10" s="1537"/>
      <c r="GN10" s="1537"/>
      <c r="GO10" s="1537"/>
      <c r="GP10" s="1537"/>
      <c r="GQ10" s="1537"/>
      <c r="GR10" s="1537"/>
      <c r="GS10" s="1537"/>
      <c r="GT10" s="1537"/>
      <c r="GU10" s="1537"/>
      <c r="GV10" s="1537"/>
      <c r="GW10" s="1537"/>
      <c r="GX10" s="1537"/>
      <c r="GY10" s="1537"/>
      <c r="GZ10" s="1537"/>
      <c r="HA10" s="1537"/>
      <c r="HB10" s="1537"/>
      <c r="HC10" s="1537"/>
      <c r="HD10" s="1537"/>
      <c r="HE10" s="1537"/>
      <c r="HF10" s="1537"/>
      <c r="HG10" s="1537"/>
      <c r="HH10" s="1537"/>
      <c r="HI10" s="1537"/>
      <c r="HJ10" s="1537"/>
      <c r="HK10" s="1537"/>
      <c r="HL10" s="1537"/>
      <c r="HM10" s="1537"/>
      <c r="HN10" s="1537"/>
      <c r="HO10" s="1537"/>
      <c r="HP10" s="1537"/>
      <c r="HQ10" s="1537"/>
      <c r="HR10" s="1537"/>
      <c r="HS10" s="1537"/>
      <c r="HT10" s="1537"/>
      <c r="HU10" s="1537"/>
      <c r="HV10" s="1537"/>
      <c r="HW10" s="1537"/>
      <c r="HX10" s="1537"/>
      <c r="HY10" s="1537"/>
      <c r="HZ10" s="1537"/>
      <c r="IA10" s="1537"/>
      <c r="IB10" s="1537"/>
      <c r="IC10" s="1537"/>
      <c r="ID10" s="1537"/>
      <c r="IE10" s="1537"/>
      <c r="IF10" s="1537"/>
      <c r="IG10" s="1537"/>
      <c r="IH10" s="1537"/>
      <c r="II10" s="1537"/>
      <c r="IJ10" s="1537"/>
      <c r="IK10" s="1537"/>
      <c r="IL10" s="1537"/>
      <c r="IM10" s="1537"/>
      <c r="IN10" s="1537"/>
      <c r="IO10" s="1537"/>
      <c r="IP10" s="1537"/>
      <c r="IQ10" s="1537"/>
      <c r="IR10" s="1537"/>
      <c r="IS10" s="1537"/>
      <c r="IT10" s="1537"/>
      <c r="IU10" s="1537"/>
      <c r="IV10" s="1537"/>
    </row>
    <row r="11" spans="1:256">
      <c r="A11" s="1541">
        <v>1</v>
      </c>
      <c r="B11" s="1542" t="s">
        <v>892</v>
      </c>
      <c r="C11" s="1542"/>
      <c r="D11" s="1542"/>
      <c r="E11" s="1542" t="s">
        <v>523</v>
      </c>
      <c r="F11" s="1539"/>
      <c r="G11" s="1537"/>
      <c r="H11" s="446">
        <f>+'SWT WS C-1 ADIT EOY'!H18*0</f>
        <v>0</v>
      </c>
      <c r="I11" s="1539"/>
      <c r="J11" s="1537"/>
      <c r="K11" s="1537"/>
      <c r="L11" s="1537"/>
      <c r="M11" s="1537"/>
      <c r="N11" s="1537"/>
      <c r="O11" s="1537"/>
      <c r="P11" s="1537"/>
      <c r="Q11" s="1537"/>
      <c r="R11" s="1537"/>
      <c r="S11" s="1537"/>
      <c r="T11" s="1537"/>
      <c r="U11" s="1537"/>
      <c r="V11" s="1537"/>
      <c r="W11" s="1537"/>
      <c r="X11" s="1537"/>
      <c r="Y11" s="1537"/>
      <c r="Z11" s="1537"/>
      <c r="AA11" s="1537"/>
      <c r="AB11" s="1537"/>
      <c r="AC11" s="1537"/>
      <c r="AD11" s="1537"/>
      <c r="AE11" s="1537"/>
      <c r="AF11" s="1537"/>
      <c r="AG11" s="1537"/>
      <c r="AH11" s="1537"/>
      <c r="AI11" s="1537"/>
      <c r="AJ11" s="1537"/>
      <c r="AK11" s="1537"/>
      <c r="AL11" s="1537"/>
      <c r="AM11" s="1537"/>
      <c r="AN11" s="1537"/>
      <c r="AO11" s="1537"/>
      <c r="AP11" s="1537"/>
      <c r="AQ11" s="1537"/>
      <c r="AR11" s="1537"/>
      <c r="AS11" s="1537"/>
      <c r="AT11" s="1537"/>
      <c r="AU11" s="1537"/>
      <c r="AV11" s="1537"/>
      <c r="AW11" s="1537"/>
      <c r="AX11" s="1537"/>
      <c r="AY11" s="1537"/>
      <c r="AZ11" s="1537"/>
      <c r="BA11" s="1537"/>
      <c r="BB11" s="1537"/>
      <c r="BC11" s="1537"/>
      <c r="BD11" s="1537"/>
      <c r="BE11" s="1537"/>
      <c r="BF11" s="1537"/>
      <c r="BG11" s="1537"/>
      <c r="BH11" s="1537"/>
      <c r="BI11" s="1537"/>
      <c r="BJ11" s="1537"/>
      <c r="BK11" s="1537"/>
      <c r="BL11" s="1537"/>
      <c r="BM11" s="1537"/>
      <c r="BN11" s="1537"/>
      <c r="BO11" s="1537"/>
      <c r="BP11" s="1537"/>
      <c r="BQ11" s="1537"/>
      <c r="BR11" s="1537"/>
      <c r="BS11" s="1537"/>
      <c r="BT11" s="1537"/>
      <c r="BU11" s="1537"/>
      <c r="BV11" s="1537"/>
      <c r="BW11" s="1537"/>
      <c r="BX11" s="1537"/>
      <c r="BY11" s="1537"/>
      <c r="BZ11" s="1537"/>
      <c r="CA11" s="1537"/>
      <c r="CB11" s="1537"/>
      <c r="CC11" s="1537"/>
      <c r="CD11" s="1537"/>
      <c r="CE11" s="1537"/>
      <c r="CF11" s="1537"/>
      <c r="CG11" s="1537"/>
      <c r="CH11" s="1537"/>
      <c r="CI11" s="1537"/>
      <c r="CJ11" s="1537"/>
      <c r="CK11" s="1537"/>
      <c r="CL11" s="1537"/>
      <c r="CM11" s="1537"/>
      <c r="CN11" s="1537"/>
      <c r="CO11" s="1537"/>
      <c r="CP11" s="1537"/>
      <c r="CQ11" s="1537"/>
      <c r="CR11" s="1537"/>
      <c r="CS11" s="1537"/>
      <c r="CT11" s="1537"/>
      <c r="CU11" s="1537"/>
      <c r="CV11" s="1537"/>
      <c r="CW11" s="1537"/>
      <c r="CX11" s="1537"/>
      <c r="CY11" s="1537"/>
      <c r="CZ11" s="1537"/>
      <c r="DA11" s="1537"/>
      <c r="DB11" s="1537"/>
      <c r="DC11" s="1537"/>
      <c r="DD11" s="1537"/>
      <c r="DE11" s="1537"/>
      <c r="DF11" s="1537"/>
      <c r="DG11" s="1537"/>
      <c r="DH11" s="1537"/>
      <c r="DI11" s="1537"/>
      <c r="DJ11" s="1537"/>
      <c r="DK11" s="1537"/>
      <c r="DL11" s="1537"/>
      <c r="DM11" s="1537"/>
      <c r="DN11" s="1537"/>
      <c r="DO11" s="1537"/>
      <c r="DP11" s="1537"/>
      <c r="DQ11" s="1537"/>
      <c r="DR11" s="1537"/>
      <c r="DS11" s="1537"/>
      <c r="DT11" s="1537"/>
      <c r="DU11" s="1537"/>
      <c r="DV11" s="1537"/>
      <c r="DW11" s="1537"/>
      <c r="DX11" s="1537"/>
      <c r="DY11" s="1537"/>
      <c r="DZ11" s="1537"/>
      <c r="EA11" s="1537"/>
      <c r="EB11" s="1537"/>
      <c r="EC11" s="1537"/>
      <c r="ED11" s="1537"/>
      <c r="EE11" s="1537"/>
      <c r="EF11" s="1537"/>
      <c r="EG11" s="1537"/>
      <c r="EH11" s="1537"/>
      <c r="EI11" s="1537"/>
      <c r="EJ11" s="1537"/>
      <c r="EK11" s="1537"/>
      <c r="EL11" s="1537"/>
      <c r="EM11" s="1537"/>
      <c r="EN11" s="1537"/>
      <c r="EO11" s="1537"/>
      <c r="EP11" s="1537"/>
      <c r="EQ11" s="1537"/>
      <c r="ER11" s="1537"/>
      <c r="ES11" s="1537"/>
      <c r="ET11" s="1537"/>
      <c r="EU11" s="1537"/>
      <c r="EV11" s="1537"/>
      <c r="EW11" s="1537"/>
      <c r="EX11" s="1537"/>
      <c r="EY11" s="1537"/>
      <c r="EZ11" s="1537"/>
      <c r="FA11" s="1537"/>
      <c r="FB11" s="1537"/>
      <c r="FC11" s="1537"/>
      <c r="FD11" s="1537"/>
      <c r="FE11" s="1537"/>
      <c r="FF11" s="1537"/>
      <c r="FG11" s="1537"/>
      <c r="FH11" s="1537"/>
      <c r="FI11" s="1537"/>
      <c r="FJ11" s="1537"/>
      <c r="FK11" s="1537"/>
      <c r="FL11" s="1537"/>
      <c r="FM11" s="1537"/>
      <c r="FN11" s="1537"/>
      <c r="FO11" s="1537"/>
      <c r="FP11" s="1537"/>
      <c r="FQ11" s="1537"/>
      <c r="FR11" s="1537"/>
      <c r="FS11" s="1537"/>
      <c r="FT11" s="1537"/>
      <c r="FU11" s="1537"/>
      <c r="FV11" s="1537"/>
      <c r="FW11" s="1537"/>
      <c r="FX11" s="1537"/>
      <c r="FY11" s="1537"/>
      <c r="FZ11" s="1537"/>
      <c r="GA11" s="1537"/>
      <c r="GB11" s="1537"/>
      <c r="GC11" s="1537"/>
      <c r="GD11" s="1537"/>
      <c r="GE11" s="1537"/>
      <c r="GF11" s="1537"/>
      <c r="GG11" s="1537"/>
      <c r="GH11" s="1537"/>
      <c r="GI11" s="1537"/>
      <c r="GJ11" s="1537"/>
      <c r="GK11" s="1537"/>
      <c r="GL11" s="1537"/>
      <c r="GM11" s="1537"/>
      <c r="GN11" s="1537"/>
      <c r="GO11" s="1537"/>
      <c r="GP11" s="1537"/>
      <c r="GQ11" s="1537"/>
      <c r="GR11" s="1537"/>
      <c r="GS11" s="1537"/>
      <c r="GT11" s="1537"/>
      <c r="GU11" s="1537"/>
      <c r="GV11" s="1537"/>
      <c r="GW11" s="1537"/>
      <c r="GX11" s="1537"/>
      <c r="GY11" s="1537"/>
      <c r="GZ11" s="1537"/>
      <c r="HA11" s="1537"/>
      <c r="HB11" s="1537"/>
      <c r="HC11" s="1537"/>
      <c r="HD11" s="1537"/>
      <c r="HE11" s="1537"/>
      <c r="HF11" s="1537"/>
      <c r="HG11" s="1537"/>
      <c r="HH11" s="1537"/>
      <c r="HI11" s="1537"/>
      <c r="HJ11" s="1537"/>
      <c r="HK11" s="1537"/>
      <c r="HL11" s="1537"/>
      <c r="HM11" s="1537"/>
      <c r="HN11" s="1537"/>
      <c r="HO11" s="1537"/>
      <c r="HP11" s="1537"/>
      <c r="HQ11" s="1537"/>
      <c r="HR11" s="1537"/>
      <c r="HS11" s="1537"/>
      <c r="HT11" s="1537"/>
      <c r="HU11" s="1537"/>
      <c r="HV11" s="1537"/>
      <c r="HW11" s="1537"/>
      <c r="HX11" s="1537"/>
      <c r="HY11" s="1537"/>
      <c r="HZ11" s="1537"/>
      <c r="IA11" s="1537"/>
      <c r="IB11" s="1537"/>
      <c r="IC11" s="1537"/>
      <c r="ID11" s="1537"/>
      <c r="IE11" s="1537"/>
      <c r="IF11" s="1537"/>
      <c r="IG11" s="1537"/>
      <c r="IH11" s="1537"/>
      <c r="II11" s="1537"/>
      <c r="IJ11" s="1537"/>
      <c r="IK11" s="1537"/>
      <c r="IL11" s="1537"/>
      <c r="IM11" s="1537"/>
      <c r="IN11" s="1537"/>
      <c r="IO11" s="1537"/>
      <c r="IP11" s="1537"/>
      <c r="IQ11" s="1537"/>
      <c r="IR11" s="1537"/>
      <c r="IS11" s="1537"/>
      <c r="IT11" s="1537"/>
      <c r="IU11" s="1537"/>
      <c r="IV11" s="1537"/>
    </row>
    <row r="12" spans="1:256">
      <c r="A12" s="1541">
        <f>+A11+1</f>
        <v>2</v>
      </c>
      <c r="B12" s="1542" t="s">
        <v>893</v>
      </c>
      <c r="C12" s="1542"/>
      <c r="D12" s="1542"/>
      <c r="E12" s="1542" t="s">
        <v>524</v>
      </c>
      <c r="F12" s="1539"/>
      <c r="G12" s="1537"/>
      <c r="H12" s="446">
        <f>+'SWT WS C-2 ADIT BOY'!H18*0</f>
        <v>0</v>
      </c>
      <c r="I12" s="1539"/>
      <c r="J12" s="1537"/>
      <c r="K12" s="1537"/>
      <c r="L12" s="1537"/>
      <c r="M12" s="1537"/>
      <c r="N12" s="1537"/>
      <c r="O12" s="1537"/>
      <c r="P12" s="1537"/>
      <c r="Q12" s="1537"/>
      <c r="R12" s="1537"/>
      <c r="S12" s="1537"/>
      <c r="T12" s="1537"/>
      <c r="U12" s="1537"/>
      <c r="V12" s="1537"/>
      <c r="W12" s="1537"/>
      <c r="X12" s="1537"/>
      <c r="Y12" s="1537"/>
      <c r="Z12" s="1537"/>
      <c r="AA12" s="1537"/>
      <c r="AB12" s="1537"/>
      <c r="AC12" s="1537"/>
      <c r="AD12" s="1537"/>
      <c r="AE12" s="1537"/>
      <c r="AF12" s="1537"/>
      <c r="AG12" s="1537"/>
      <c r="AH12" s="1537"/>
      <c r="AI12" s="1537"/>
      <c r="AJ12" s="1537"/>
      <c r="AK12" s="1537"/>
      <c r="AL12" s="1537"/>
      <c r="AM12" s="1537"/>
      <c r="AN12" s="1537"/>
      <c r="AO12" s="1537"/>
      <c r="AP12" s="1537"/>
      <c r="AQ12" s="1537"/>
      <c r="AR12" s="1537"/>
      <c r="AS12" s="1537"/>
      <c r="AT12" s="1537"/>
      <c r="AU12" s="1537"/>
      <c r="AV12" s="1537"/>
      <c r="AW12" s="1537"/>
      <c r="AX12" s="1537"/>
      <c r="AY12" s="1537"/>
      <c r="AZ12" s="1537"/>
      <c r="BA12" s="1537"/>
      <c r="BB12" s="1537"/>
      <c r="BC12" s="1537"/>
      <c r="BD12" s="1537"/>
      <c r="BE12" s="1537"/>
      <c r="BF12" s="1537"/>
      <c r="BG12" s="1537"/>
      <c r="BH12" s="1537"/>
      <c r="BI12" s="1537"/>
      <c r="BJ12" s="1537"/>
      <c r="BK12" s="1537"/>
      <c r="BL12" s="1537"/>
      <c r="BM12" s="1537"/>
      <c r="BN12" s="1537"/>
      <c r="BO12" s="1537"/>
      <c r="BP12" s="1537"/>
      <c r="BQ12" s="1537"/>
      <c r="BR12" s="1537"/>
      <c r="BS12" s="1537"/>
      <c r="BT12" s="1537"/>
      <c r="BU12" s="1537"/>
      <c r="BV12" s="1537"/>
      <c r="BW12" s="1537"/>
      <c r="BX12" s="1537"/>
      <c r="BY12" s="1537"/>
      <c r="BZ12" s="1537"/>
      <c r="CA12" s="1537"/>
      <c r="CB12" s="1537"/>
      <c r="CC12" s="1537"/>
      <c r="CD12" s="1537"/>
      <c r="CE12" s="1537"/>
      <c r="CF12" s="1537"/>
      <c r="CG12" s="1537"/>
      <c r="CH12" s="1537"/>
      <c r="CI12" s="1537"/>
      <c r="CJ12" s="1537"/>
      <c r="CK12" s="1537"/>
      <c r="CL12" s="1537"/>
      <c r="CM12" s="1537"/>
      <c r="CN12" s="1537"/>
      <c r="CO12" s="1537"/>
      <c r="CP12" s="1537"/>
      <c r="CQ12" s="1537"/>
      <c r="CR12" s="1537"/>
      <c r="CS12" s="1537"/>
      <c r="CT12" s="1537"/>
      <c r="CU12" s="1537"/>
      <c r="CV12" s="1537"/>
      <c r="CW12" s="1537"/>
      <c r="CX12" s="1537"/>
      <c r="CY12" s="1537"/>
      <c r="CZ12" s="1537"/>
      <c r="DA12" s="1537"/>
      <c r="DB12" s="1537"/>
      <c r="DC12" s="1537"/>
      <c r="DD12" s="1537"/>
      <c r="DE12" s="1537"/>
      <c r="DF12" s="1537"/>
      <c r="DG12" s="1537"/>
      <c r="DH12" s="1537"/>
      <c r="DI12" s="1537"/>
      <c r="DJ12" s="1537"/>
      <c r="DK12" s="1537"/>
      <c r="DL12" s="1537"/>
      <c r="DM12" s="1537"/>
      <c r="DN12" s="1537"/>
      <c r="DO12" s="1537"/>
      <c r="DP12" s="1537"/>
      <c r="DQ12" s="1537"/>
      <c r="DR12" s="1537"/>
      <c r="DS12" s="1537"/>
      <c r="DT12" s="1537"/>
      <c r="DU12" s="1537"/>
      <c r="DV12" s="1537"/>
      <c r="DW12" s="1537"/>
      <c r="DX12" s="1537"/>
      <c r="DY12" s="1537"/>
      <c r="DZ12" s="1537"/>
      <c r="EA12" s="1537"/>
      <c r="EB12" s="1537"/>
      <c r="EC12" s="1537"/>
      <c r="ED12" s="1537"/>
      <c r="EE12" s="1537"/>
      <c r="EF12" s="1537"/>
      <c r="EG12" s="1537"/>
      <c r="EH12" s="1537"/>
      <c r="EI12" s="1537"/>
      <c r="EJ12" s="1537"/>
      <c r="EK12" s="1537"/>
      <c r="EL12" s="1537"/>
      <c r="EM12" s="1537"/>
      <c r="EN12" s="1537"/>
      <c r="EO12" s="1537"/>
      <c r="EP12" s="1537"/>
      <c r="EQ12" s="1537"/>
      <c r="ER12" s="1537"/>
      <c r="ES12" s="1537"/>
      <c r="ET12" s="1537"/>
      <c r="EU12" s="1537"/>
      <c r="EV12" s="1537"/>
      <c r="EW12" s="1537"/>
      <c r="EX12" s="1537"/>
      <c r="EY12" s="1537"/>
      <c r="EZ12" s="1537"/>
      <c r="FA12" s="1537"/>
      <c r="FB12" s="1537"/>
      <c r="FC12" s="1537"/>
      <c r="FD12" s="1537"/>
      <c r="FE12" s="1537"/>
      <c r="FF12" s="1537"/>
      <c r="FG12" s="1537"/>
      <c r="FH12" s="1537"/>
      <c r="FI12" s="1537"/>
      <c r="FJ12" s="1537"/>
      <c r="FK12" s="1537"/>
      <c r="FL12" s="1537"/>
      <c r="FM12" s="1537"/>
      <c r="FN12" s="1537"/>
      <c r="FO12" s="1537"/>
      <c r="FP12" s="1537"/>
      <c r="FQ12" s="1537"/>
      <c r="FR12" s="1537"/>
      <c r="FS12" s="1537"/>
      <c r="FT12" s="1537"/>
      <c r="FU12" s="1537"/>
      <c r="FV12" s="1537"/>
      <c r="FW12" s="1537"/>
      <c r="FX12" s="1537"/>
      <c r="FY12" s="1537"/>
      <c r="FZ12" s="1537"/>
      <c r="GA12" s="1537"/>
      <c r="GB12" s="1537"/>
      <c r="GC12" s="1537"/>
      <c r="GD12" s="1537"/>
      <c r="GE12" s="1537"/>
      <c r="GF12" s="1537"/>
      <c r="GG12" s="1537"/>
      <c r="GH12" s="1537"/>
      <c r="GI12" s="1537"/>
      <c r="GJ12" s="1537"/>
      <c r="GK12" s="1537"/>
      <c r="GL12" s="1537"/>
      <c r="GM12" s="1537"/>
      <c r="GN12" s="1537"/>
      <c r="GO12" s="1537"/>
      <c r="GP12" s="1537"/>
      <c r="GQ12" s="1537"/>
      <c r="GR12" s="1537"/>
      <c r="GS12" s="1537"/>
      <c r="GT12" s="1537"/>
      <c r="GU12" s="1537"/>
      <c r="GV12" s="1537"/>
      <c r="GW12" s="1537"/>
      <c r="GX12" s="1537"/>
      <c r="GY12" s="1537"/>
      <c r="GZ12" s="1537"/>
      <c r="HA12" s="1537"/>
      <c r="HB12" s="1537"/>
      <c r="HC12" s="1537"/>
      <c r="HD12" s="1537"/>
      <c r="HE12" s="1537"/>
      <c r="HF12" s="1537"/>
      <c r="HG12" s="1537"/>
      <c r="HH12" s="1537"/>
      <c r="HI12" s="1537"/>
      <c r="HJ12" s="1537"/>
      <c r="HK12" s="1537"/>
      <c r="HL12" s="1537"/>
      <c r="HM12" s="1537"/>
      <c r="HN12" s="1537"/>
      <c r="HO12" s="1537"/>
      <c r="HP12" s="1537"/>
      <c r="HQ12" s="1537"/>
      <c r="HR12" s="1537"/>
      <c r="HS12" s="1537"/>
      <c r="HT12" s="1537"/>
      <c r="HU12" s="1537"/>
      <c r="HV12" s="1537"/>
      <c r="HW12" s="1537"/>
      <c r="HX12" s="1537"/>
      <c r="HY12" s="1537"/>
      <c r="HZ12" s="1537"/>
      <c r="IA12" s="1537"/>
      <c r="IB12" s="1537"/>
      <c r="IC12" s="1537"/>
      <c r="ID12" s="1537"/>
      <c r="IE12" s="1537"/>
      <c r="IF12" s="1537"/>
      <c r="IG12" s="1537"/>
      <c r="IH12" s="1537"/>
      <c r="II12" s="1537"/>
      <c r="IJ12" s="1537"/>
      <c r="IK12" s="1537"/>
      <c r="IL12" s="1537"/>
      <c r="IM12" s="1537"/>
      <c r="IN12" s="1537"/>
      <c r="IO12" s="1537"/>
      <c r="IP12" s="1537"/>
      <c r="IQ12" s="1537"/>
      <c r="IR12" s="1537"/>
      <c r="IS12" s="1537"/>
      <c r="IT12" s="1537"/>
      <c r="IU12" s="1537"/>
      <c r="IV12" s="1537"/>
    </row>
    <row r="13" spans="1:256">
      <c r="A13" s="1541">
        <f>+A12+1</f>
        <v>3</v>
      </c>
      <c r="B13" s="1542" t="s">
        <v>507</v>
      </c>
      <c r="C13" s="1542"/>
      <c r="D13" s="1542"/>
      <c r="E13" s="1542" t="str">
        <f>"Line "&amp;A11&amp;" less Line "&amp;A12</f>
        <v>Line 1 less Line 2</v>
      </c>
      <c r="F13" s="1539"/>
      <c r="G13" s="1537"/>
      <c r="H13" s="1543">
        <f>+H11-H12</f>
        <v>0</v>
      </c>
      <c r="I13" s="1539"/>
      <c r="J13" s="1537"/>
      <c r="K13" s="1537"/>
      <c r="L13" s="1537"/>
      <c r="M13" s="1537"/>
      <c r="N13" s="1537"/>
      <c r="O13" s="1537"/>
      <c r="P13" s="1537"/>
      <c r="Q13" s="1537"/>
      <c r="R13" s="1537"/>
      <c r="S13" s="1537"/>
      <c r="T13" s="1537"/>
      <c r="U13" s="1537"/>
      <c r="V13" s="1537"/>
      <c r="W13" s="1537"/>
      <c r="X13" s="1537"/>
      <c r="Y13" s="1537"/>
      <c r="Z13" s="1537"/>
      <c r="AA13" s="1537"/>
      <c r="AB13" s="1537"/>
      <c r="AC13" s="1537"/>
      <c r="AD13" s="1537"/>
      <c r="AE13" s="1537"/>
      <c r="AF13" s="1537"/>
      <c r="AG13" s="1537"/>
      <c r="AH13" s="1537"/>
      <c r="AI13" s="1537"/>
      <c r="AJ13" s="1537"/>
      <c r="AK13" s="1537"/>
      <c r="AL13" s="1537"/>
      <c r="AM13" s="1537"/>
      <c r="AN13" s="1537"/>
      <c r="AO13" s="1537"/>
      <c r="AP13" s="1537"/>
      <c r="AQ13" s="1537"/>
      <c r="AR13" s="1537"/>
      <c r="AS13" s="1537"/>
      <c r="AT13" s="1537"/>
      <c r="AU13" s="1537"/>
      <c r="AV13" s="1537"/>
      <c r="AW13" s="1537"/>
      <c r="AX13" s="1537"/>
      <c r="AY13" s="1537"/>
      <c r="AZ13" s="1537"/>
      <c r="BA13" s="1537"/>
      <c r="BB13" s="1537"/>
      <c r="BC13" s="1537"/>
      <c r="BD13" s="1537"/>
      <c r="BE13" s="1537"/>
      <c r="BF13" s="1537"/>
      <c r="BG13" s="1537"/>
      <c r="BH13" s="1537"/>
      <c r="BI13" s="1537"/>
      <c r="BJ13" s="1537"/>
      <c r="BK13" s="1537"/>
      <c r="BL13" s="1537"/>
      <c r="BM13" s="1537"/>
      <c r="BN13" s="1537"/>
      <c r="BO13" s="1537"/>
      <c r="BP13" s="1537"/>
      <c r="BQ13" s="1537"/>
      <c r="BR13" s="1537"/>
      <c r="BS13" s="1537"/>
      <c r="BT13" s="1537"/>
      <c r="BU13" s="1537"/>
      <c r="BV13" s="1537"/>
      <c r="BW13" s="1537"/>
      <c r="BX13" s="1537"/>
      <c r="BY13" s="1537"/>
      <c r="BZ13" s="1537"/>
      <c r="CA13" s="1537"/>
      <c r="CB13" s="1537"/>
      <c r="CC13" s="1537"/>
      <c r="CD13" s="1537"/>
      <c r="CE13" s="1537"/>
      <c r="CF13" s="1537"/>
      <c r="CG13" s="1537"/>
      <c r="CH13" s="1537"/>
      <c r="CI13" s="1537"/>
      <c r="CJ13" s="1537"/>
      <c r="CK13" s="1537"/>
      <c r="CL13" s="1537"/>
      <c r="CM13" s="1537"/>
      <c r="CN13" s="1537"/>
      <c r="CO13" s="1537"/>
      <c r="CP13" s="1537"/>
      <c r="CQ13" s="1537"/>
      <c r="CR13" s="1537"/>
      <c r="CS13" s="1537"/>
      <c r="CT13" s="1537"/>
      <c r="CU13" s="1537"/>
      <c r="CV13" s="1537"/>
      <c r="CW13" s="1537"/>
      <c r="CX13" s="1537"/>
      <c r="CY13" s="1537"/>
      <c r="CZ13" s="1537"/>
      <c r="DA13" s="1537"/>
      <c r="DB13" s="1537"/>
      <c r="DC13" s="1537"/>
      <c r="DD13" s="1537"/>
      <c r="DE13" s="1537"/>
      <c r="DF13" s="1537"/>
      <c r="DG13" s="1537"/>
      <c r="DH13" s="1537"/>
      <c r="DI13" s="1537"/>
      <c r="DJ13" s="1537"/>
      <c r="DK13" s="1537"/>
      <c r="DL13" s="1537"/>
      <c r="DM13" s="1537"/>
      <c r="DN13" s="1537"/>
      <c r="DO13" s="1537"/>
      <c r="DP13" s="1537"/>
      <c r="DQ13" s="1537"/>
      <c r="DR13" s="1537"/>
      <c r="DS13" s="1537"/>
      <c r="DT13" s="1537"/>
      <c r="DU13" s="1537"/>
      <c r="DV13" s="1537"/>
      <c r="DW13" s="1537"/>
      <c r="DX13" s="1537"/>
      <c r="DY13" s="1537"/>
      <c r="DZ13" s="1537"/>
      <c r="EA13" s="1537"/>
      <c r="EB13" s="1537"/>
      <c r="EC13" s="1537"/>
      <c r="ED13" s="1537"/>
      <c r="EE13" s="1537"/>
      <c r="EF13" s="1537"/>
      <c r="EG13" s="1537"/>
      <c r="EH13" s="1537"/>
      <c r="EI13" s="1537"/>
      <c r="EJ13" s="1537"/>
      <c r="EK13" s="1537"/>
      <c r="EL13" s="1537"/>
      <c r="EM13" s="1537"/>
      <c r="EN13" s="1537"/>
      <c r="EO13" s="1537"/>
      <c r="EP13" s="1537"/>
      <c r="EQ13" s="1537"/>
      <c r="ER13" s="1537"/>
      <c r="ES13" s="1537"/>
      <c r="ET13" s="1537"/>
      <c r="EU13" s="1537"/>
      <c r="EV13" s="1537"/>
      <c r="EW13" s="1537"/>
      <c r="EX13" s="1537"/>
      <c r="EY13" s="1537"/>
      <c r="EZ13" s="1537"/>
      <c r="FA13" s="1537"/>
      <c r="FB13" s="1537"/>
      <c r="FC13" s="1537"/>
      <c r="FD13" s="1537"/>
      <c r="FE13" s="1537"/>
      <c r="FF13" s="1537"/>
      <c r="FG13" s="1537"/>
      <c r="FH13" s="1537"/>
      <c r="FI13" s="1537"/>
      <c r="FJ13" s="1537"/>
      <c r="FK13" s="1537"/>
      <c r="FL13" s="1537"/>
      <c r="FM13" s="1537"/>
      <c r="FN13" s="1537"/>
      <c r="FO13" s="1537"/>
      <c r="FP13" s="1537"/>
      <c r="FQ13" s="1537"/>
      <c r="FR13" s="1537"/>
      <c r="FS13" s="1537"/>
      <c r="FT13" s="1537"/>
      <c r="FU13" s="1537"/>
      <c r="FV13" s="1537"/>
      <c r="FW13" s="1537"/>
      <c r="FX13" s="1537"/>
      <c r="FY13" s="1537"/>
      <c r="FZ13" s="1537"/>
      <c r="GA13" s="1537"/>
      <c r="GB13" s="1537"/>
      <c r="GC13" s="1537"/>
      <c r="GD13" s="1537"/>
      <c r="GE13" s="1537"/>
      <c r="GF13" s="1537"/>
      <c r="GG13" s="1537"/>
      <c r="GH13" s="1537"/>
      <c r="GI13" s="1537"/>
      <c r="GJ13" s="1537"/>
      <c r="GK13" s="1537"/>
      <c r="GL13" s="1537"/>
      <c r="GM13" s="1537"/>
      <c r="GN13" s="1537"/>
      <c r="GO13" s="1537"/>
      <c r="GP13" s="1537"/>
      <c r="GQ13" s="1537"/>
      <c r="GR13" s="1537"/>
      <c r="GS13" s="1537"/>
      <c r="GT13" s="1537"/>
      <c r="GU13" s="1537"/>
      <c r="GV13" s="1537"/>
      <c r="GW13" s="1537"/>
      <c r="GX13" s="1537"/>
      <c r="GY13" s="1537"/>
      <c r="GZ13" s="1537"/>
      <c r="HA13" s="1537"/>
      <c r="HB13" s="1537"/>
      <c r="HC13" s="1537"/>
      <c r="HD13" s="1537"/>
      <c r="HE13" s="1537"/>
      <c r="HF13" s="1537"/>
      <c r="HG13" s="1537"/>
      <c r="HH13" s="1537"/>
      <c r="HI13" s="1537"/>
      <c r="HJ13" s="1537"/>
      <c r="HK13" s="1537"/>
      <c r="HL13" s="1537"/>
      <c r="HM13" s="1537"/>
      <c r="HN13" s="1537"/>
      <c r="HO13" s="1537"/>
      <c r="HP13" s="1537"/>
      <c r="HQ13" s="1537"/>
      <c r="HR13" s="1537"/>
      <c r="HS13" s="1537"/>
      <c r="HT13" s="1537"/>
      <c r="HU13" s="1537"/>
      <c r="HV13" s="1537"/>
      <c r="HW13" s="1537"/>
      <c r="HX13" s="1537"/>
      <c r="HY13" s="1537"/>
      <c r="HZ13" s="1537"/>
      <c r="IA13" s="1537"/>
      <c r="IB13" s="1537"/>
      <c r="IC13" s="1537"/>
      <c r="ID13" s="1537"/>
      <c r="IE13" s="1537"/>
      <c r="IF13" s="1537"/>
      <c r="IG13" s="1537"/>
      <c r="IH13" s="1537"/>
      <c r="II13" s="1537"/>
      <c r="IJ13" s="1537"/>
      <c r="IK13" s="1537"/>
      <c r="IL13" s="1537"/>
      <c r="IM13" s="1537"/>
      <c r="IN13" s="1537"/>
      <c r="IO13" s="1537"/>
      <c r="IP13" s="1537"/>
      <c r="IQ13" s="1537"/>
      <c r="IR13" s="1537"/>
      <c r="IS13" s="1537"/>
      <c r="IT13" s="1537"/>
      <c r="IU13" s="1537"/>
      <c r="IV13" s="1537"/>
    </row>
    <row r="14" spans="1:256">
      <c r="A14" s="1541">
        <f>+A13+1</f>
        <v>4</v>
      </c>
      <c r="B14" s="1542" t="s">
        <v>508</v>
      </c>
      <c r="C14" s="1542"/>
      <c r="D14" s="1542"/>
      <c r="E14" s="1542" t="str">
        <f>"Line "&amp;A13&amp;" / 12"</f>
        <v>Line 3 / 12</v>
      </c>
      <c r="F14" s="1539"/>
      <c r="G14" s="1537"/>
      <c r="H14" s="1544">
        <f>+H13/12</f>
        <v>0</v>
      </c>
      <c r="I14" s="1539"/>
      <c r="J14" s="1537"/>
      <c r="K14" s="1537"/>
      <c r="L14" s="1537"/>
      <c r="M14" s="1537"/>
      <c r="N14" s="1537"/>
      <c r="O14" s="1537"/>
      <c r="P14" s="1537"/>
      <c r="Q14" s="1537"/>
      <c r="R14" s="1537"/>
      <c r="S14" s="1537"/>
      <c r="T14" s="1537"/>
      <c r="U14" s="1537"/>
      <c r="V14" s="1537"/>
      <c r="W14" s="1537"/>
      <c r="X14" s="1537"/>
      <c r="Y14" s="1537"/>
      <c r="Z14" s="1537"/>
      <c r="AA14" s="1537"/>
      <c r="AB14" s="1537"/>
      <c r="AC14" s="1537"/>
      <c r="AD14" s="1537"/>
      <c r="AE14" s="1537"/>
      <c r="AF14" s="1537"/>
      <c r="AG14" s="1537"/>
      <c r="AH14" s="1537"/>
      <c r="AI14" s="1537"/>
      <c r="AJ14" s="1537"/>
      <c r="AK14" s="1537"/>
      <c r="AL14" s="1537"/>
      <c r="AM14" s="1537"/>
      <c r="AN14" s="1537"/>
      <c r="AO14" s="1537"/>
      <c r="AP14" s="1537"/>
      <c r="AQ14" s="1537"/>
      <c r="AR14" s="1537"/>
      <c r="AS14" s="1537"/>
      <c r="AT14" s="1537"/>
      <c r="AU14" s="1537"/>
      <c r="AV14" s="1537"/>
      <c r="AW14" s="1537"/>
      <c r="AX14" s="1537"/>
      <c r="AY14" s="1537"/>
      <c r="AZ14" s="1537"/>
      <c r="BA14" s="1537"/>
      <c r="BB14" s="1537"/>
      <c r="BC14" s="1537"/>
      <c r="BD14" s="1537"/>
      <c r="BE14" s="1537"/>
      <c r="BF14" s="1537"/>
      <c r="BG14" s="1537"/>
      <c r="BH14" s="1537"/>
      <c r="BI14" s="1537"/>
      <c r="BJ14" s="1537"/>
      <c r="BK14" s="1537"/>
      <c r="BL14" s="1537"/>
      <c r="BM14" s="1537"/>
      <c r="BN14" s="1537"/>
      <c r="BO14" s="1537"/>
      <c r="BP14" s="1537"/>
      <c r="BQ14" s="1537"/>
      <c r="BR14" s="1537"/>
      <c r="BS14" s="1537"/>
      <c r="BT14" s="1537"/>
      <c r="BU14" s="1537"/>
      <c r="BV14" s="1537"/>
      <c r="BW14" s="1537"/>
      <c r="BX14" s="1537"/>
      <c r="BY14" s="1537"/>
      <c r="BZ14" s="1537"/>
      <c r="CA14" s="1537"/>
      <c r="CB14" s="1537"/>
      <c r="CC14" s="1537"/>
      <c r="CD14" s="1537"/>
      <c r="CE14" s="1537"/>
      <c r="CF14" s="1537"/>
      <c r="CG14" s="1537"/>
      <c r="CH14" s="1537"/>
      <c r="CI14" s="1537"/>
      <c r="CJ14" s="1537"/>
      <c r="CK14" s="1537"/>
      <c r="CL14" s="1537"/>
      <c r="CM14" s="1537"/>
      <c r="CN14" s="1537"/>
      <c r="CO14" s="1537"/>
      <c r="CP14" s="1537"/>
      <c r="CQ14" s="1537"/>
      <c r="CR14" s="1537"/>
      <c r="CS14" s="1537"/>
      <c r="CT14" s="1537"/>
      <c r="CU14" s="1537"/>
      <c r="CV14" s="1537"/>
      <c r="CW14" s="1537"/>
      <c r="CX14" s="1537"/>
      <c r="CY14" s="1537"/>
      <c r="CZ14" s="1537"/>
      <c r="DA14" s="1537"/>
      <c r="DB14" s="1537"/>
      <c r="DC14" s="1537"/>
      <c r="DD14" s="1537"/>
      <c r="DE14" s="1537"/>
      <c r="DF14" s="1537"/>
      <c r="DG14" s="1537"/>
      <c r="DH14" s="1537"/>
      <c r="DI14" s="1537"/>
      <c r="DJ14" s="1537"/>
      <c r="DK14" s="1537"/>
      <c r="DL14" s="1537"/>
      <c r="DM14" s="1537"/>
      <c r="DN14" s="1537"/>
      <c r="DO14" s="1537"/>
      <c r="DP14" s="1537"/>
      <c r="DQ14" s="1537"/>
      <c r="DR14" s="1537"/>
      <c r="DS14" s="1537"/>
      <c r="DT14" s="1537"/>
      <c r="DU14" s="1537"/>
      <c r="DV14" s="1537"/>
      <c r="DW14" s="1537"/>
      <c r="DX14" s="1537"/>
      <c r="DY14" s="1537"/>
      <c r="DZ14" s="1537"/>
      <c r="EA14" s="1537"/>
      <c r="EB14" s="1537"/>
      <c r="EC14" s="1537"/>
      <c r="ED14" s="1537"/>
      <c r="EE14" s="1537"/>
      <c r="EF14" s="1537"/>
      <c r="EG14" s="1537"/>
      <c r="EH14" s="1537"/>
      <c r="EI14" s="1537"/>
      <c r="EJ14" s="1537"/>
      <c r="EK14" s="1537"/>
      <c r="EL14" s="1537"/>
      <c r="EM14" s="1537"/>
      <c r="EN14" s="1537"/>
      <c r="EO14" s="1537"/>
      <c r="EP14" s="1537"/>
      <c r="EQ14" s="1537"/>
      <c r="ER14" s="1537"/>
      <c r="ES14" s="1537"/>
      <c r="ET14" s="1537"/>
      <c r="EU14" s="1537"/>
      <c r="EV14" s="1537"/>
      <c r="EW14" s="1537"/>
      <c r="EX14" s="1537"/>
      <c r="EY14" s="1537"/>
      <c r="EZ14" s="1537"/>
      <c r="FA14" s="1537"/>
      <c r="FB14" s="1537"/>
      <c r="FC14" s="1537"/>
      <c r="FD14" s="1537"/>
      <c r="FE14" s="1537"/>
      <c r="FF14" s="1537"/>
      <c r="FG14" s="1537"/>
      <c r="FH14" s="1537"/>
      <c r="FI14" s="1537"/>
      <c r="FJ14" s="1537"/>
      <c r="FK14" s="1537"/>
      <c r="FL14" s="1537"/>
      <c r="FM14" s="1537"/>
      <c r="FN14" s="1537"/>
      <c r="FO14" s="1537"/>
      <c r="FP14" s="1537"/>
      <c r="FQ14" s="1537"/>
      <c r="FR14" s="1537"/>
      <c r="FS14" s="1537"/>
      <c r="FT14" s="1537"/>
      <c r="FU14" s="1537"/>
      <c r="FV14" s="1537"/>
      <c r="FW14" s="1537"/>
      <c r="FX14" s="1537"/>
      <c r="FY14" s="1537"/>
      <c r="FZ14" s="1537"/>
      <c r="GA14" s="1537"/>
      <c r="GB14" s="1537"/>
      <c r="GC14" s="1537"/>
      <c r="GD14" s="1537"/>
      <c r="GE14" s="1537"/>
      <c r="GF14" s="1537"/>
      <c r="GG14" s="1537"/>
      <c r="GH14" s="1537"/>
      <c r="GI14" s="1537"/>
      <c r="GJ14" s="1537"/>
      <c r="GK14" s="1537"/>
      <c r="GL14" s="1537"/>
      <c r="GM14" s="1537"/>
      <c r="GN14" s="1537"/>
      <c r="GO14" s="1537"/>
      <c r="GP14" s="1537"/>
      <c r="GQ14" s="1537"/>
      <c r="GR14" s="1537"/>
      <c r="GS14" s="1537"/>
      <c r="GT14" s="1537"/>
      <c r="GU14" s="1537"/>
      <c r="GV14" s="1537"/>
      <c r="GW14" s="1537"/>
      <c r="GX14" s="1537"/>
      <c r="GY14" s="1537"/>
      <c r="GZ14" s="1537"/>
      <c r="HA14" s="1537"/>
      <c r="HB14" s="1537"/>
      <c r="HC14" s="1537"/>
      <c r="HD14" s="1537"/>
      <c r="HE14" s="1537"/>
      <c r="HF14" s="1537"/>
      <c r="HG14" s="1537"/>
      <c r="HH14" s="1537"/>
      <c r="HI14" s="1537"/>
      <c r="HJ14" s="1537"/>
      <c r="HK14" s="1537"/>
      <c r="HL14" s="1537"/>
      <c r="HM14" s="1537"/>
      <c r="HN14" s="1537"/>
      <c r="HO14" s="1537"/>
      <c r="HP14" s="1537"/>
      <c r="HQ14" s="1537"/>
      <c r="HR14" s="1537"/>
      <c r="HS14" s="1537"/>
      <c r="HT14" s="1537"/>
      <c r="HU14" s="1537"/>
      <c r="HV14" s="1537"/>
      <c r="HW14" s="1537"/>
      <c r="HX14" s="1537"/>
      <c r="HY14" s="1537"/>
      <c r="HZ14" s="1537"/>
      <c r="IA14" s="1537"/>
      <c r="IB14" s="1537"/>
      <c r="IC14" s="1537"/>
      <c r="ID14" s="1537"/>
      <c r="IE14" s="1537"/>
      <c r="IF14" s="1537"/>
      <c r="IG14" s="1537"/>
      <c r="IH14" s="1537"/>
      <c r="II14" s="1537"/>
      <c r="IJ14" s="1537"/>
      <c r="IK14" s="1537"/>
      <c r="IL14" s="1537"/>
      <c r="IM14" s="1537"/>
      <c r="IN14" s="1537"/>
      <c r="IO14" s="1537"/>
      <c r="IP14" s="1537"/>
      <c r="IQ14" s="1537"/>
      <c r="IR14" s="1537"/>
      <c r="IS14" s="1537"/>
      <c r="IT14" s="1537"/>
      <c r="IU14" s="1537"/>
      <c r="IV14" s="1537"/>
    </row>
    <row r="15" spans="1:256">
      <c r="A15" s="1542"/>
      <c r="B15" s="1542"/>
      <c r="C15" s="1542"/>
      <c r="D15" s="1542"/>
      <c r="E15" s="1539"/>
      <c r="F15" s="1539"/>
      <c r="G15" s="1539"/>
      <c r="H15" s="1539"/>
      <c r="I15" s="1539"/>
      <c r="J15" s="1537"/>
      <c r="K15" s="1537"/>
      <c r="L15" s="1537"/>
      <c r="M15" s="1537"/>
      <c r="N15" s="1537"/>
      <c r="O15" s="1537"/>
      <c r="P15" s="1537"/>
      <c r="Q15" s="1537"/>
      <c r="R15" s="1537"/>
      <c r="S15" s="1537"/>
      <c r="T15" s="1537"/>
      <c r="U15" s="1537"/>
      <c r="V15" s="1537"/>
      <c r="W15" s="1537"/>
      <c r="X15" s="1537"/>
      <c r="Y15" s="1537"/>
      <c r="Z15" s="1537"/>
      <c r="AA15" s="1537"/>
      <c r="AB15" s="1537"/>
      <c r="AC15" s="1537"/>
      <c r="AD15" s="1537"/>
      <c r="AE15" s="1537"/>
      <c r="AF15" s="1537"/>
      <c r="AG15" s="1537"/>
      <c r="AH15" s="1537"/>
      <c r="AI15" s="1537"/>
      <c r="AJ15" s="1537"/>
      <c r="AK15" s="1537"/>
      <c r="AL15" s="1537"/>
      <c r="AM15" s="1537"/>
      <c r="AN15" s="1537"/>
      <c r="AO15" s="1537"/>
      <c r="AP15" s="1537"/>
      <c r="AQ15" s="1537"/>
      <c r="AR15" s="1537"/>
      <c r="AS15" s="1537"/>
      <c r="AT15" s="1537"/>
      <c r="AU15" s="1537"/>
      <c r="AV15" s="1537"/>
      <c r="AW15" s="1537"/>
      <c r="AX15" s="1537"/>
      <c r="AY15" s="1537"/>
      <c r="AZ15" s="1537"/>
      <c r="BA15" s="1537"/>
      <c r="BB15" s="1537"/>
      <c r="BC15" s="1537"/>
      <c r="BD15" s="1537"/>
      <c r="BE15" s="1537"/>
      <c r="BF15" s="1537"/>
      <c r="BG15" s="1537"/>
      <c r="BH15" s="1537"/>
      <c r="BI15" s="1537"/>
      <c r="BJ15" s="1537"/>
      <c r="BK15" s="1537"/>
      <c r="BL15" s="1537"/>
      <c r="BM15" s="1537"/>
      <c r="BN15" s="1537"/>
      <c r="BO15" s="1537"/>
      <c r="BP15" s="1537"/>
      <c r="BQ15" s="1537"/>
      <c r="BR15" s="1537"/>
      <c r="BS15" s="1537"/>
      <c r="BT15" s="1537"/>
      <c r="BU15" s="1537"/>
      <c r="BV15" s="1537"/>
      <c r="BW15" s="1537"/>
      <c r="BX15" s="1537"/>
      <c r="BY15" s="1537"/>
      <c r="BZ15" s="1537"/>
      <c r="CA15" s="1537"/>
      <c r="CB15" s="1537"/>
      <c r="CC15" s="1537"/>
      <c r="CD15" s="1537"/>
      <c r="CE15" s="1537"/>
      <c r="CF15" s="1537"/>
      <c r="CG15" s="1537"/>
      <c r="CH15" s="1537"/>
      <c r="CI15" s="1537"/>
      <c r="CJ15" s="1537"/>
      <c r="CK15" s="1537"/>
      <c r="CL15" s="1537"/>
      <c r="CM15" s="1537"/>
      <c r="CN15" s="1537"/>
      <c r="CO15" s="1537"/>
      <c r="CP15" s="1537"/>
      <c r="CQ15" s="1537"/>
      <c r="CR15" s="1537"/>
      <c r="CS15" s="1537"/>
      <c r="CT15" s="1537"/>
      <c r="CU15" s="1537"/>
      <c r="CV15" s="1537"/>
      <c r="CW15" s="1537"/>
      <c r="CX15" s="1537"/>
      <c r="CY15" s="1537"/>
      <c r="CZ15" s="1537"/>
      <c r="DA15" s="1537"/>
      <c r="DB15" s="1537"/>
      <c r="DC15" s="1537"/>
      <c r="DD15" s="1537"/>
      <c r="DE15" s="1537"/>
      <c r="DF15" s="1537"/>
      <c r="DG15" s="1537"/>
      <c r="DH15" s="1537"/>
      <c r="DI15" s="1537"/>
      <c r="DJ15" s="1537"/>
      <c r="DK15" s="1537"/>
      <c r="DL15" s="1537"/>
      <c r="DM15" s="1537"/>
      <c r="DN15" s="1537"/>
      <c r="DO15" s="1537"/>
      <c r="DP15" s="1537"/>
      <c r="DQ15" s="1537"/>
      <c r="DR15" s="1537"/>
      <c r="DS15" s="1537"/>
      <c r="DT15" s="1537"/>
      <c r="DU15" s="1537"/>
      <c r="DV15" s="1537"/>
      <c r="DW15" s="1537"/>
      <c r="DX15" s="1537"/>
      <c r="DY15" s="1537"/>
      <c r="DZ15" s="1537"/>
      <c r="EA15" s="1537"/>
      <c r="EB15" s="1537"/>
      <c r="EC15" s="1537"/>
      <c r="ED15" s="1537"/>
      <c r="EE15" s="1537"/>
      <c r="EF15" s="1537"/>
      <c r="EG15" s="1537"/>
      <c r="EH15" s="1537"/>
      <c r="EI15" s="1537"/>
      <c r="EJ15" s="1537"/>
      <c r="EK15" s="1537"/>
      <c r="EL15" s="1537"/>
      <c r="EM15" s="1537"/>
      <c r="EN15" s="1537"/>
      <c r="EO15" s="1537"/>
      <c r="EP15" s="1537"/>
      <c r="EQ15" s="1537"/>
      <c r="ER15" s="1537"/>
      <c r="ES15" s="1537"/>
      <c r="ET15" s="1537"/>
      <c r="EU15" s="1537"/>
      <c r="EV15" s="1537"/>
      <c r="EW15" s="1537"/>
      <c r="EX15" s="1537"/>
      <c r="EY15" s="1537"/>
      <c r="EZ15" s="1537"/>
      <c r="FA15" s="1537"/>
      <c r="FB15" s="1537"/>
      <c r="FC15" s="1537"/>
      <c r="FD15" s="1537"/>
      <c r="FE15" s="1537"/>
      <c r="FF15" s="1537"/>
      <c r="FG15" s="1537"/>
      <c r="FH15" s="1537"/>
      <c r="FI15" s="1537"/>
      <c r="FJ15" s="1537"/>
      <c r="FK15" s="1537"/>
      <c r="FL15" s="1537"/>
      <c r="FM15" s="1537"/>
      <c r="FN15" s="1537"/>
      <c r="FO15" s="1537"/>
      <c r="FP15" s="1537"/>
      <c r="FQ15" s="1537"/>
      <c r="FR15" s="1537"/>
      <c r="FS15" s="1537"/>
      <c r="FT15" s="1537"/>
      <c r="FU15" s="1537"/>
      <c r="FV15" s="1537"/>
      <c r="FW15" s="1537"/>
      <c r="FX15" s="1537"/>
      <c r="FY15" s="1537"/>
      <c r="FZ15" s="1537"/>
      <c r="GA15" s="1537"/>
      <c r="GB15" s="1537"/>
      <c r="GC15" s="1537"/>
      <c r="GD15" s="1537"/>
      <c r="GE15" s="1537"/>
      <c r="GF15" s="1537"/>
      <c r="GG15" s="1537"/>
      <c r="GH15" s="1537"/>
      <c r="GI15" s="1537"/>
      <c r="GJ15" s="1537"/>
      <c r="GK15" s="1537"/>
      <c r="GL15" s="1537"/>
      <c r="GM15" s="1537"/>
      <c r="GN15" s="1537"/>
      <c r="GO15" s="1537"/>
      <c r="GP15" s="1537"/>
      <c r="GQ15" s="1537"/>
      <c r="GR15" s="1537"/>
      <c r="GS15" s="1537"/>
      <c r="GT15" s="1537"/>
      <c r="GU15" s="1537"/>
      <c r="GV15" s="1537"/>
      <c r="GW15" s="1537"/>
      <c r="GX15" s="1537"/>
      <c r="GY15" s="1537"/>
      <c r="GZ15" s="1537"/>
      <c r="HA15" s="1537"/>
      <c r="HB15" s="1537"/>
      <c r="HC15" s="1537"/>
      <c r="HD15" s="1537"/>
      <c r="HE15" s="1537"/>
      <c r="HF15" s="1537"/>
      <c r="HG15" s="1537"/>
      <c r="HH15" s="1537"/>
      <c r="HI15" s="1537"/>
      <c r="HJ15" s="1537"/>
      <c r="HK15" s="1537"/>
      <c r="HL15" s="1537"/>
      <c r="HM15" s="1537"/>
      <c r="HN15" s="1537"/>
      <c r="HO15" s="1537"/>
      <c r="HP15" s="1537"/>
      <c r="HQ15" s="1537"/>
      <c r="HR15" s="1537"/>
      <c r="HS15" s="1537"/>
      <c r="HT15" s="1537"/>
      <c r="HU15" s="1537"/>
      <c r="HV15" s="1537"/>
      <c r="HW15" s="1537"/>
      <c r="HX15" s="1537"/>
      <c r="HY15" s="1537"/>
      <c r="HZ15" s="1537"/>
      <c r="IA15" s="1537"/>
      <c r="IB15" s="1537"/>
      <c r="IC15" s="1537"/>
      <c r="ID15" s="1537"/>
      <c r="IE15" s="1537"/>
      <c r="IF15" s="1537"/>
      <c r="IG15" s="1537"/>
      <c r="IH15" s="1537"/>
      <c r="II15" s="1537"/>
      <c r="IJ15" s="1537"/>
      <c r="IK15" s="1537"/>
      <c r="IL15" s="1537"/>
      <c r="IM15" s="1537"/>
      <c r="IN15" s="1537"/>
      <c r="IO15" s="1537"/>
      <c r="IP15" s="1537"/>
      <c r="IQ15" s="1537"/>
      <c r="IR15" s="1537"/>
      <c r="IS15" s="1537"/>
      <c r="IT15" s="1537"/>
      <c r="IU15" s="1537"/>
      <c r="IV15" s="1537"/>
    </row>
    <row r="16" spans="1:256" ht="15">
      <c r="A16" s="1537"/>
      <c r="B16" s="1545" t="s">
        <v>300</v>
      </c>
      <c r="C16" s="1545" t="s">
        <v>301</v>
      </c>
      <c r="D16" s="1545" t="s">
        <v>47</v>
      </c>
      <c r="E16" s="1545" t="s">
        <v>303</v>
      </c>
      <c r="F16" s="1545" t="s">
        <v>228</v>
      </c>
      <c r="G16" s="1545" t="s">
        <v>229</v>
      </c>
      <c r="H16" s="1545" t="s">
        <v>230</v>
      </c>
      <c r="I16" s="1545" t="s">
        <v>235</v>
      </c>
      <c r="J16" s="1537"/>
      <c r="K16" s="1537"/>
      <c r="L16" s="1537"/>
      <c r="M16" s="1537"/>
      <c r="N16" s="1537"/>
      <c r="O16" s="1537"/>
      <c r="P16" s="1537"/>
      <c r="Q16" s="1537"/>
      <c r="R16" s="1537"/>
      <c r="S16" s="1537"/>
      <c r="T16" s="1537"/>
      <c r="U16" s="1537"/>
      <c r="V16" s="1537"/>
      <c r="W16" s="1537"/>
      <c r="X16" s="1537"/>
      <c r="Y16" s="1537"/>
      <c r="Z16" s="1537"/>
      <c r="AA16" s="1537"/>
      <c r="AB16" s="1537"/>
      <c r="AC16" s="1537"/>
      <c r="AD16" s="1537"/>
      <c r="AE16" s="1537"/>
      <c r="AF16" s="1537"/>
      <c r="AG16" s="1537"/>
      <c r="AH16" s="1537"/>
      <c r="AI16" s="1537"/>
      <c r="AJ16" s="1537"/>
      <c r="AK16" s="1537"/>
      <c r="AL16" s="1537"/>
      <c r="AM16" s="1537"/>
      <c r="AN16" s="1537"/>
      <c r="AO16" s="1537"/>
      <c r="AP16" s="1537"/>
      <c r="AQ16" s="1537"/>
      <c r="AR16" s="1537"/>
      <c r="AS16" s="1537"/>
      <c r="AT16" s="1537"/>
      <c r="AU16" s="1537"/>
      <c r="AV16" s="1537"/>
      <c r="AW16" s="1537"/>
      <c r="AX16" s="1537"/>
      <c r="AY16" s="1537"/>
      <c r="AZ16" s="1537"/>
      <c r="BA16" s="1537"/>
      <c r="BB16" s="1537"/>
      <c r="BC16" s="1537"/>
      <c r="BD16" s="1537"/>
      <c r="BE16" s="1537"/>
      <c r="BF16" s="1537"/>
      <c r="BG16" s="1537"/>
      <c r="BH16" s="1537"/>
      <c r="BI16" s="1537"/>
      <c r="BJ16" s="1537"/>
      <c r="BK16" s="1537"/>
      <c r="BL16" s="1537"/>
      <c r="BM16" s="1537"/>
      <c r="BN16" s="1537"/>
      <c r="BO16" s="1537"/>
      <c r="BP16" s="1537"/>
      <c r="BQ16" s="1537"/>
      <c r="BR16" s="1537"/>
      <c r="BS16" s="1537"/>
      <c r="BT16" s="1537"/>
      <c r="BU16" s="1537"/>
      <c r="BV16" s="1537"/>
      <c r="BW16" s="1537"/>
      <c r="BX16" s="1537"/>
      <c r="BY16" s="1537"/>
      <c r="BZ16" s="1537"/>
      <c r="CA16" s="1537"/>
      <c r="CB16" s="1537"/>
      <c r="CC16" s="1537"/>
      <c r="CD16" s="1537"/>
      <c r="CE16" s="1537"/>
      <c r="CF16" s="1537"/>
      <c r="CG16" s="1537"/>
      <c r="CH16" s="1537"/>
      <c r="CI16" s="1537"/>
      <c r="CJ16" s="1537"/>
      <c r="CK16" s="1537"/>
      <c r="CL16" s="1537"/>
      <c r="CM16" s="1537"/>
      <c r="CN16" s="1537"/>
      <c r="CO16" s="1537"/>
      <c r="CP16" s="1537"/>
      <c r="CQ16" s="1537"/>
      <c r="CR16" s="1537"/>
      <c r="CS16" s="1537"/>
      <c r="CT16" s="1537"/>
      <c r="CU16" s="1537"/>
      <c r="CV16" s="1537"/>
      <c r="CW16" s="1537"/>
      <c r="CX16" s="1537"/>
      <c r="CY16" s="1537"/>
      <c r="CZ16" s="1537"/>
      <c r="DA16" s="1537"/>
      <c r="DB16" s="1537"/>
      <c r="DC16" s="1537"/>
      <c r="DD16" s="1537"/>
      <c r="DE16" s="1537"/>
      <c r="DF16" s="1537"/>
      <c r="DG16" s="1537"/>
      <c r="DH16" s="1537"/>
      <c r="DI16" s="1537"/>
      <c r="DJ16" s="1537"/>
      <c r="DK16" s="1537"/>
      <c r="DL16" s="1537"/>
      <c r="DM16" s="1537"/>
      <c r="DN16" s="1537"/>
      <c r="DO16" s="1537"/>
      <c r="DP16" s="1537"/>
      <c r="DQ16" s="1537"/>
      <c r="DR16" s="1537"/>
      <c r="DS16" s="1537"/>
      <c r="DT16" s="1537"/>
      <c r="DU16" s="1537"/>
      <c r="DV16" s="1537"/>
      <c r="DW16" s="1537"/>
      <c r="DX16" s="1537"/>
      <c r="DY16" s="1537"/>
      <c r="DZ16" s="1537"/>
      <c r="EA16" s="1537"/>
      <c r="EB16" s="1537"/>
      <c r="EC16" s="1537"/>
      <c r="ED16" s="1537"/>
      <c r="EE16" s="1537"/>
      <c r="EF16" s="1537"/>
      <c r="EG16" s="1537"/>
      <c r="EH16" s="1537"/>
      <c r="EI16" s="1537"/>
      <c r="EJ16" s="1537"/>
      <c r="EK16" s="1537"/>
      <c r="EL16" s="1537"/>
      <c r="EM16" s="1537"/>
      <c r="EN16" s="1537"/>
      <c r="EO16" s="1537"/>
      <c r="EP16" s="1537"/>
      <c r="EQ16" s="1537"/>
      <c r="ER16" s="1537"/>
      <c r="ES16" s="1537"/>
      <c r="ET16" s="1537"/>
      <c r="EU16" s="1537"/>
      <c r="EV16" s="1537"/>
      <c r="EW16" s="1537"/>
      <c r="EX16" s="1537"/>
      <c r="EY16" s="1537"/>
      <c r="EZ16" s="1537"/>
      <c r="FA16" s="1537"/>
      <c r="FB16" s="1537"/>
      <c r="FC16" s="1537"/>
      <c r="FD16" s="1537"/>
      <c r="FE16" s="1537"/>
      <c r="FF16" s="1537"/>
      <c r="FG16" s="1537"/>
      <c r="FH16" s="1537"/>
      <c r="FI16" s="1537"/>
      <c r="FJ16" s="1537"/>
      <c r="FK16" s="1537"/>
      <c r="FL16" s="1537"/>
      <c r="FM16" s="1537"/>
      <c r="FN16" s="1537"/>
      <c r="FO16" s="1537"/>
      <c r="FP16" s="1537"/>
      <c r="FQ16" s="1537"/>
      <c r="FR16" s="1537"/>
      <c r="FS16" s="1537"/>
      <c r="FT16" s="1537"/>
      <c r="FU16" s="1537"/>
      <c r="FV16" s="1537"/>
      <c r="FW16" s="1537"/>
      <c r="FX16" s="1537"/>
      <c r="FY16" s="1537"/>
      <c r="FZ16" s="1537"/>
      <c r="GA16" s="1537"/>
      <c r="GB16" s="1537"/>
      <c r="GC16" s="1537"/>
      <c r="GD16" s="1537"/>
      <c r="GE16" s="1537"/>
      <c r="GF16" s="1537"/>
      <c r="GG16" s="1537"/>
      <c r="GH16" s="1537"/>
      <c r="GI16" s="1537"/>
      <c r="GJ16" s="1537"/>
      <c r="GK16" s="1537"/>
      <c r="GL16" s="1537"/>
      <c r="GM16" s="1537"/>
      <c r="GN16" s="1537"/>
      <c r="GO16" s="1537"/>
      <c r="GP16" s="1537"/>
      <c r="GQ16" s="1537"/>
      <c r="GR16" s="1537"/>
      <c r="GS16" s="1537"/>
      <c r="GT16" s="1537"/>
      <c r="GU16" s="1537"/>
      <c r="GV16" s="1537"/>
      <c r="GW16" s="1537"/>
      <c r="GX16" s="1537"/>
      <c r="GY16" s="1537"/>
      <c r="GZ16" s="1537"/>
      <c r="HA16" s="1537"/>
      <c r="HB16" s="1537"/>
      <c r="HC16" s="1537"/>
      <c r="HD16" s="1537"/>
      <c r="HE16" s="1537"/>
      <c r="HF16" s="1537"/>
      <c r="HG16" s="1537"/>
      <c r="HH16" s="1537"/>
      <c r="HI16" s="1537"/>
      <c r="HJ16" s="1537"/>
      <c r="HK16" s="1537"/>
      <c r="HL16" s="1537"/>
      <c r="HM16" s="1537"/>
      <c r="HN16" s="1537"/>
      <c r="HO16" s="1537"/>
      <c r="HP16" s="1537"/>
      <c r="HQ16" s="1537"/>
      <c r="HR16" s="1537"/>
      <c r="HS16" s="1537"/>
      <c r="HT16" s="1537"/>
      <c r="HU16" s="1537"/>
      <c r="HV16" s="1537"/>
      <c r="HW16" s="1537"/>
      <c r="HX16" s="1537"/>
      <c r="HY16" s="1537"/>
      <c r="HZ16" s="1537"/>
      <c r="IA16" s="1537"/>
      <c r="IB16" s="1537"/>
      <c r="IC16" s="1537"/>
      <c r="ID16" s="1537"/>
      <c r="IE16" s="1537"/>
      <c r="IF16" s="1537"/>
      <c r="IG16" s="1537"/>
      <c r="IH16" s="1537"/>
      <c r="II16" s="1537"/>
      <c r="IJ16" s="1537"/>
      <c r="IK16" s="1537"/>
      <c r="IL16" s="1537"/>
      <c r="IM16" s="1537"/>
      <c r="IN16" s="1537"/>
      <c r="IO16" s="1537"/>
      <c r="IP16" s="1537"/>
      <c r="IQ16" s="1537"/>
      <c r="IR16" s="1537"/>
      <c r="IS16" s="1537"/>
      <c r="IT16" s="1537"/>
      <c r="IU16" s="1537"/>
      <c r="IV16" s="1537"/>
    </row>
    <row r="17" spans="1:256" ht="38.5">
      <c r="A17" s="1546" t="s">
        <v>307</v>
      </c>
      <c r="B17" s="1547" t="s">
        <v>509</v>
      </c>
      <c r="C17" s="1547" t="s">
        <v>510</v>
      </c>
      <c r="D17" s="1547" t="s">
        <v>518</v>
      </c>
      <c r="E17" s="1547" t="s">
        <v>519</v>
      </c>
      <c r="F17" s="1547" t="s">
        <v>520</v>
      </c>
      <c r="G17" s="1547" t="s">
        <v>521</v>
      </c>
      <c r="H17" s="1547" t="s">
        <v>511</v>
      </c>
      <c r="I17" s="1547" t="s">
        <v>522</v>
      </c>
      <c r="J17" s="1537"/>
      <c r="K17" s="1548"/>
      <c r="L17" s="1548"/>
      <c r="M17" s="1548"/>
      <c r="N17" s="1548"/>
      <c r="O17" s="1548"/>
      <c r="P17" s="1548"/>
      <c r="Q17" s="1548"/>
      <c r="R17" s="1548"/>
      <c r="S17" s="1548"/>
      <c r="T17" s="1548"/>
      <c r="U17" s="1548"/>
      <c r="V17" s="1548"/>
      <c r="W17" s="1548"/>
      <c r="X17" s="1548"/>
      <c r="Y17" s="1548"/>
      <c r="Z17" s="1548"/>
      <c r="AA17" s="1548"/>
      <c r="AB17" s="1548"/>
      <c r="AC17" s="1548"/>
      <c r="AD17" s="1548"/>
      <c r="AE17" s="1548"/>
      <c r="AF17" s="1548"/>
      <c r="AG17" s="1548"/>
      <c r="AH17" s="1548"/>
      <c r="AI17" s="1548"/>
      <c r="AJ17" s="1548"/>
      <c r="AK17" s="1548"/>
      <c r="AL17" s="1548"/>
      <c r="AM17" s="1548"/>
      <c r="AN17" s="1548"/>
      <c r="AO17" s="1548"/>
      <c r="AP17" s="1548"/>
      <c r="AQ17" s="1548"/>
      <c r="AR17" s="1548"/>
      <c r="AS17" s="1548"/>
      <c r="AT17" s="1548"/>
      <c r="AU17" s="1548"/>
      <c r="AV17" s="1548"/>
      <c r="AW17" s="1548"/>
      <c r="AX17" s="1548"/>
      <c r="AY17" s="1548"/>
      <c r="AZ17" s="1548"/>
      <c r="BA17" s="1548"/>
      <c r="BB17" s="1548"/>
      <c r="BC17" s="1548"/>
      <c r="BD17" s="1548"/>
      <c r="BE17" s="1548"/>
      <c r="BF17" s="1548"/>
      <c r="BG17" s="1548"/>
      <c r="BH17" s="1548"/>
      <c r="BI17" s="1548"/>
      <c r="BJ17" s="1548"/>
      <c r="BK17" s="1548"/>
      <c r="BL17" s="1548"/>
      <c r="BM17" s="1548"/>
      <c r="BN17" s="1548"/>
      <c r="BO17" s="1548"/>
      <c r="BP17" s="1548"/>
      <c r="BQ17" s="1548"/>
      <c r="BR17" s="1548"/>
      <c r="BS17" s="1548"/>
      <c r="BT17" s="1548"/>
      <c r="BU17" s="1548"/>
      <c r="BV17" s="1548"/>
      <c r="BW17" s="1548"/>
      <c r="BX17" s="1548"/>
      <c r="BY17" s="1548"/>
      <c r="BZ17" s="1548"/>
      <c r="CA17" s="1548"/>
      <c r="CB17" s="1548"/>
      <c r="CC17" s="1548"/>
      <c r="CD17" s="1548"/>
      <c r="CE17" s="1548"/>
      <c r="CF17" s="1548"/>
      <c r="CG17" s="1548"/>
      <c r="CH17" s="1548"/>
      <c r="CI17" s="1548"/>
      <c r="CJ17" s="1548"/>
      <c r="CK17" s="1548"/>
      <c r="CL17" s="1548"/>
      <c r="CM17" s="1548"/>
      <c r="CN17" s="1548"/>
      <c r="CO17" s="1548"/>
      <c r="CP17" s="1548"/>
      <c r="CQ17" s="1548"/>
      <c r="CR17" s="1548"/>
      <c r="CS17" s="1548"/>
      <c r="CT17" s="1548"/>
      <c r="CU17" s="1548"/>
      <c r="CV17" s="1548"/>
      <c r="CW17" s="1548"/>
      <c r="CX17" s="1548"/>
      <c r="CY17" s="1548"/>
      <c r="CZ17" s="1548"/>
      <c r="DA17" s="1548"/>
      <c r="DB17" s="1548"/>
      <c r="DC17" s="1548"/>
      <c r="DD17" s="1548"/>
      <c r="DE17" s="1548"/>
      <c r="DF17" s="1548"/>
      <c r="DG17" s="1548"/>
      <c r="DH17" s="1548"/>
      <c r="DI17" s="1548"/>
      <c r="DJ17" s="1548"/>
      <c r="DK17" s="1548"/>
      <c r="DL17" s="1548"/>
      <c r="DM17" s="1548"/>
      <c r="DN17" s="1548"/>
      <c r="DO17" s="1548"/>
      <c r="DP17" s="1548"/>
      <c r="DQ17" s="1548"/>
      <c r="DR17" s="1548"/>
      <c r="DS17" s="1548"/>
      <c r="DT17" s="1548"/>
      <c r="DU17" s="1548"/>
      <c r="DV17" s="1548"/>
      <c r="DW17" s="1548"/>
      <c r="DX17" s="1548"/>
      <c r="DY17" s="1548"/>
      <c r="DZ17" s="1548"/>
      <c r="EA17" s="1548"/>
      <c r="EB17" s="1548"/>
      <c r="EC17" s="1548"/>
      <c r="ED17" s="1548"/>
      <c r="EE17" s="1548"/>
      <c r="EF17" s="1548"/>
      <c r="EG17" s="1548"/>
      <c r="EH17" s="1548"/>
      <c r="EI17" s="1548"/>
      <c r="EJ17" s="1548"/>
      <c r="EK17" s="1548"/>
      <c r="EL17" s="1548"/>
      <c r="EM17" s="1548"/>
      <c r="EN17" s="1548"/>
      <c r="EO17" s="1548"/>
      <c r="EP17" s="1548"/>
      <c r="EQ17" s="1548"/>
      <c r="ER17" s="1548"/>
      <c r="ES17" s="1548"/>
      <c r="ET17" s="1548"/>
      <c r="EU17" s="1548"/>
      <c r="EV17" s="1548"/>
      <c r="EW17" s="1548"/>
      <c r="EX17" s="1548"/>
      <c r="EY17" s="1548"/>
      <c r="EZ17" s="1548"/>
      <c r="FA17" s="1548"/>
      <c r="FB17" s="1548"/>
      <c r="FC17" s="1548"/>
      <c r="FD17" s="1548"/>
      <c r="FE17" s="1548"/>
      <c r="FF17" s="1548"/>
      <c r="FG17" s="1548"/>
      <c r="FH17" s="1548"/>
      <c r="FI17" s="1548"/>
      <c r="FJ17" s="1548"/>
      <c r="FK17" s="1548"/>
      <c r="FL17" s="1548"/>
      <c r="FM17" s="1548"/>
      <c r="FN17" s="1548"/>
      <c r="FO17" s="1548"/>
      <c r="FP17" s="1548"/>
      <c r="FQ17" s="1548"/>
      <c r="FR17" s="1548"/>
      <c r="FS17" s="1548"/>
      <c r="FT17" s="1548"/>
      <c r="FU17" s="1548"/>
      <c r="FV17" s="1548"/>
      <c r="FW17" s="1548"/>
      <c r="FX17" s="1548"/>
      <c r="FY17" s="1548"/>
      <c r="FZ17" s="1548"/>
      <c r="GA17" s="1548"/>
      <c r="GB17" s="1548"/>
      <c r="GC17" s="1548"/>
      <c r="GD17" s="1548"/>
      <c r="GE17" s="1548"/>
      <c r="GF17" s="1548"/>
      <c r="GG17" s="1548"/>
      <c r="GH17" s="1548"/>
      <c r="GI17" s="1548"/>
      <c r="GJ17" s="1548"/>
      <c r="GK17" s="1548"/>
      <c r="GL17" s="1548"/>
      <c r="GM17" s="1548"/>
      <c r="GN17" s="1548"/>
      <c r="GO17" s="1548"/>
      <c r="GP17" s="1548"/>
      <c r="GQ17" s="1548"/>
      <c r="GR17" s="1548"/>
      <c r="GS17" s="1548"/>
      <c r="GT17" s="1548"/>
      <c r="GU17" s="1548"/>
      <c r="GV17" s="1548"/>
      <c r="GW17" s="1548"/>
      <c r="GX17" s="1548"/>
      <c r="GY17" s="1548"/>
      <c r="GZ17" s="1548"/>
      <c r="HA17" s="1548"/>
      <c r="HB17" s="1548"/>
      <c r="HC17" s="1548"/>
      <c r="HD17" s="1548"/>
      <c r="HE17" s="1548"/>
      <c r="HF17" s="1548"/>
      <c r="HG17" s="1548"/>
      <c r="HH17" s="1548"/>
      <c r="HI17" s="1548"/>
      <c r="HJ17" s="1548"/>
      <c r="HK17" s="1548"/>
      <c r="HL17" s="1548"/>
      <c r="HM17" s="1548"/>
      <c r="HN17" s="1548"/>
      <c r="HO17" s="1548"/>
      <c r="HP17" s="1548"/>
      <c r="HQ17" s="1548"/>
      <c r="HR17" s="1548"/>
      <c r="HS17" s="1548"/>
      <c r="HT17" s="1548"/>
      <c r="HU17" s="1548"/>
      <c r="HV17" s="1548"/>
      <c r="HW17" s="1548"/>
      <c r="HX17" s="1548"/>
      <c r="HY17" s="1548"/>
      <c r="HZ17" s="1548"/>
      <c r="IA17" s="1548"/>
      <c r="IB17" s="1548"/>
      <c r="IC17" s="1548"/>
      <c r="ID17" s="1548"/>
      <c r="IE17" s="1548"/>
      <c r="IF17" s="1548"/>
      <c r="IG17" s="1548"/>
      <c r="IH17" s="1548"/>
      <c r="II17" s="1548"/>
      <c r="IJ17" s="1548"/>
      <c r="IK17" s="1548"/>
      <c r="IL17" s="1548"/>
      <c r="IM17" s="1548"/>
      <c r="IN17" s="1548"/>
      <c r="IO17" s="1548"/>
      <c r="IP17" s="1548"/>
      <c r="IQ17" s="1548"/>
      <c r="IR17" s="1548"/>
      <c r="IS17" s="1548"/>
      <c r="IT17" s="1548"/>
      <c r="IU17" s="1548"/>
      <c r="IV17" s="1548"/>
    </row>
    <row r="18" spans="1:256">
      <c r="A18" s="1541">
        <f>+A14+1</f>
        <v>5</v>
      </c>
      <c r="B18" s="1538" t="s">
        <v>512</v>
      </c>
      <c r="C18" s="629">
        <f>+H12</f>
        <v>0</v>
      </c>
      <c r="D18" s="629">
        <f>C18</f>
        <v>0</v>
      </c>
      <c r="E18" s="1538"/>
      <c r="F18" s="446">
        <v>365</v>
      </c>
      <c r="G18" s="1549">
        <f>F18/$F$18</f>
        <v>1</v>
      </c>
      <c r="H18" s="629">
        <f>C18*G18</f>
        <v>0</v>
      </c>
      <c r="I18" s="629">
        <f>H18</f>
        <v>0</v>
      </c>
      <c r="J18" s="1537"/>
      <c r="K18" s="1537"/>
      <c r="L18" s="1537"/>
      <c r="M18" s="1537"/>
      <c r="N18" s="1537"/>
      <c r="O18" s="1537"/>
      <c r="P18" s="1537"/>
      <c r="Q18" s="1537"/>
      <c r="R18" s="1537"/>
      <c r="S18" s="1537"/>
      <c r="T18" s="1537"/>
      <c r="U18" s="1537"/>
      <c r="V18" s="1537"/>
      <c r="W18" s="1537"/>
      <c r="X18" s="1537"/>
      <c r="Y18" s="1537"/>
      <c r="Z18" s="1537"/>
      <c r="AA18" s="1537"/>
      <c r="AB18" s="1537"/>
      <c r="AC18" s="1537"/>
      <c r="AD18" s="1537"/>
      <c r="AE18" s="1537"/>
      <c r="AF18" s="1537"/>
      <c r="AG18" s="1537"/>
      <c r="AH18" s="1537"/>
      <c r="AI18" s="1537"/>
      <c r="AJ18" s="1537"/>
      <c r="AK18" s="1537"/>
      <c r="AL18" s="1537"/>
      <c r="AM18" s="1537"/>
      <c r="AN18" s="1537"/>
      <c r="AO18" s="1537"/>
      <c r="AP18" s="1537"/>
      <c r="AQ18" s="1537"/>
      <c r="AR18" s="1537"/>
      <c r="AS18" s="1537"/>
      <c r="AT18" s="1537"/>
      <c r="AU18" s="1537"/>
      <c r="AV18" s="1537"/>
      <c r="AW18" s="1537"/>
      <c r="AX18" s="1537"/>
      <c r="AY18" s="1537"/>
      <c r="AZ18" s="1537"/>
      <c r="BA18" s="1537"/>
      <c r="BB18" s="1537"/>
      <c r="BC18" s="1537"/>
      <c r="BD18" s="1537"/>
      <c r="BE18" s="1537"/>
      <c r="BF18" s="1537"/>
      <c r="BG18" s="1537"/>
      <c r="BH18" s="1537"/>
      <c r="BI18" s="1537"/>
      <c r="BJ18" s="1537"/>
      <c r="BK18" s="1537"/>
      <c r="BL18" s="1537"/>
      <c r="BM18" s="1537"/>
      <c r="BN18" s="1537"/>
      <c r="BO18" s="1537"/>
      <c r="BP18" s="1537"/>
      <c r="BQ18" s="1537"/>
      <c r="BR18" s="1537"/>
      <c r="BS18" s="1537"/>
      <c r="BT18" s="1537"/>
      <c r="BU18" s="1537"/>
      <c r="BV18" s="1537"/>
      <c r="BW18" s="1537"/>
      <c r="BX18" s="1537"/>
      <c r="BY18" s="1537"/>
      <c r="BZ18" s="1537"/>
      <c r="CA18" s="1537"/>
      <c r="CB18" s="1537"/>
      <c r="CC18" s="1537"/>
      <c r="CD18" s="1537"/>
      <c r="CE18" s="1537"/>
      <c r="CF18" s="1537"/>
      <c r="CG18" s="1537"/>
      <c r="CH18" s="1537"/>
      <c r="CI18" s="1537"/>
      <c r="CJ18" s="1537"/>
      <c r="CK18" s="1537"/>
      <c r="CL18" s="1537"/>
      <c r="CM18" s="1537"/>
      <c r="CN18" s="1537"/>
      <c r="CO18" s="1537"/>
      <c r="CP18" s="1537"/>
      <c r="CQ18" s="1537"/>
      <c r="CR18" s="1537"/>
      <c r="CS18" s="1537"/>
      <c r="CT18" s="1537"/>
      <c r="CU18" s="1537"/>
      <c r="CV18" s="1537"/>
      <c r="CW18" s="1537"/>
      <c r="CX18" s="1537"/>
      <c r="CY18" s="1537"/>
      <c r="CZ18" s="1537"/>
      <c r="DA18" s="1537"/>
      <c r="DB18" s="1537"/>
      <c r="DC18" s="1537"/>
      <c r="DD18" s="1537"/>
      <c r="DE18" s="1537"/>
      <c r="DF18" s="1537"/>
      <c r="DG18" s="1537"/>
      <c r="DH18" s="1537"/>
      <c r="DI18" s="1537"/>
      <c r="DJ18" s="1537"/>
      <c r="DK18" s="1537"/>
      <c r="DL18" s="1537"/>
      <c r="DM18" s="1537"/>
      <c r="DN18" s="1537"/>
      <c r="DO18" s="1537"/>
      <c r="DP18" s="1537"/>
      <c r="DQ18" s="1537"/>
      <c r="DR18" s="1537"/>
      <c r="DS18" s="1537"/>
      <c r="DT18" s="1537"/>
      <c r="DU18" s="1537"/>
      <c r="DV18" s="1537"/>
      <c r="DW18" s="1537"/>
      <c r="DX18" s="1537"/>
      <c r="DY18" s="1537"/>
      <c r="DZ18" s="1537"/>
      <c r="EA18" s="1537"/>
      <c r="EB18" s="1537"/>
      <c r="EC18" s="1537"/>
      <c r="ED18" s="1537"/>
      <c r="EE18" s="1537"/>
      <c r="EF18" s="1537"/>
      <c r="EG18" s="1537"/>
      <c r="EH18" s="1537"/>
      <c r="EI18" s="1537"/>
      <c r="EJ18" s="1537"/>
      <c r="EK18" s="1537"/>
      <c r="EL18" s="1537"/>
      <c r="EM18" s="1537"/>
      <c r="EN18" s="1537"/>
      <c r="EO18" s="1537"/>
      <c r="EP18" s="1537"/>
      <c r="EQ18" s="1537"/>
      <c r="ER18" s="1537"/>
      <c r="ES18" s="1537"/>
      <c r="ET18" s="1537"/>
      <c r="EU18" s="1537"/>
      <c r="EV18" s="1537"/>
      <c r="EW18" s="1537"/>
      <c r="EX18" s="1537"/>
      <c r="EY18" s="1537"/>
      <c r="EZ18" s="1537"/>
      <c r="FA18" s="1537"/>
      <c r="FB18" s="1537"/>
      <c r="FC18" s="1537"/>
      <c r="FD18" s="1537"/>
      <c r="FE18" s="1537"/>
      <c r="FF18" s="1537"/>
      <c r="FG18" s="1537"/>
      <c r="FH18" s="1537"/>
      <c r="FI18" s="1537"/>
      <c r="FJ18" s="1537"/>
      <c r="FK18" s="1537"/>
      <c r="FL18" s="1537"/>
      <c r="FM18" s="1537"/>
      <c r="FN18" s="1537"/>
      <c r="FO18" s="1537"/>
      <c r="FP18" s="1537"/>
      <c r="FQ18" s="1537"/>
      <c r="FR18" s="1537"/>
      <c r="FS18" s="1537"/>
      <c r="FT18" s="1537"/>
      <c r="FU18" s="1537"/>
      <c r="FV18" s="1537"/>
      <c r="FW18" s="1537"/>
      <c r="FX18" s="1537"/>
      <c r="FY18" s="1537"/>
      <c r="FZ18" s="1537"/>
      <c r="GA18" s="1537"/>
      <c r="GB18" s="1537"/>
      <c r="GC18" s="1537"/>
      <c r="GD18" s="1537"/>
      <c r="GE18" s="1537"/>
      <c r="GF18" s="1537"/>
      <c r="GG18" s="1537"/>
      <c r="GH18" s="1537"/>
      <c r="GI18" s="1537"/>
      <c r="GJ18" s="1537"/>
      <c r="GK18" s="1537"/>
      <c r="GL18" s="1537"/>
      <c r="GM18" s="1537"/>
      <c r="GN18" s="1537"/>
      <c r="GO18" s="1537"/>
      <c r="GP18" s="1537"/>
      <c r="GQ18" s="1537"/>
      <c r="GR18" s="1537"/>
      <c r="GS18" s="1537"/>
      <c r="GT18" s="1537"/>
      <c r="GU18" s="1537"/>
      <c r="GV18" s="1537"/>
      <c r="GW18" s="1537"/>
      <c r="GX18" s="1537"/>
      <c r="GY18" s="1537"/>
      <c r="GZ18" s="1537"/>
      <c r="HA18" s="1537"/>
      <c r="HB18" s="1537"/>
      <c r="HC18" s="1537"/>
      <c r="HD18" s="1537"/>
      <c r="HE18" s="1537"/>
      <c r="HF18" s="1537"/>
      <c r="HG18" s="1537"/>
      <c r="HH18" s="1537"/>
      <c r="HI18" s="1537"/>
      <c r="HJ18" s="1537"/>
      <c r="HK18" s="1537"/>
      <c r="HL18" s="1537"/>
      <c r="HM18" s="1537"/>
      <c r="HN18" s="1537"/>
      <c r="HO18" s="1537"/>
      <c r="HP18" s="1537"/>
      <c r="HQ18" s="1537"/>
      <c r="HR18" s="1537"/>
      <c r="HS18" s="1537"/>
      <c r="HT18" s="1537"/>
      <c r="HU18" s="1537"/>
      <c r="HV18" s="1537"/>
      <c r="HW18" s="1537"/>
      <c r="HX18" s="1537"/>
      <c r="HY18" s="1537"/>
      <c r="HZ18" s="1537"/>
      <c r="IA18" s="1537"/>
      <c r="IB18" s="1537"/>
      <c r="IC18" s="1537"/>
      <c r="ID18" s="1537"/>
      <c r="IE18" s="1537"/>
      <c r="IF18" s="1537"/>
      <c r="IG18" s="1537"/>
      <c r="IH18" s="1537"/>
      <c r="II18" s="1537"/>
      <c r="IJ18" s="1537"/>
      <c r="IK18" s="1537"/>
      <c r="IL18" s="1537"/>
      <c r="IM18" s="1537"/>
      <c r="IN18" s="1537"/>
      <c r="IO18" s="1537"/>
      <c r="IP18" s="1537"/>
      <c r="IQ18" s="1537"/>
      <c r="IR18" s="1537"/>
      <c r="IS18" s="1537"/>
      <c r="IT18" s="1537"/>
      <c r="IU18" s="1537"/>
      <c r="IV18" s="1537"/>
    </row>
    <row r="19" spans="1:256">
      <c r="A19" s="1541">
        <f>+A18+1</f>
        <v>6</v>
      </c>
      <c r="B19" s="1538" t="s">
        <v>513</v>
      </c>
      <c r="C19" s="629">
        <f>+$H$14</f>
        <v>0</v>
      </c>
      <c r="D19" s="629">
        <f>D18+C19</f>
        <v>0</v>
      </c>
      <c r="E19" s="1538">
        <v>31</v>
      </c>
      <c r="F19" s="446">
        <v>335</v>
      </c>
      <c r="G19" s="1549">
        <f t="shared" ref="G19:G30" si="0">F19/$F$18</f>
        <v>0.9178082191780822</v>
      </c>
      <c r="H19" s="629">
        <f t="shared" ref="H19:H30" si="1">C19*G19</f>
        <v>0</v>
      </c>
      <c r="I19" s="629">
        <f>I18+H19</f>
        <v>0</v>
      </c>
      <c r="J19" s="1537"/>
      <c r="K19" s="1537"/>
      <c r="L19" s="1537"/>
      <c r="M19" s="1537"/>
      <c r="N19" s="1537"/>
      <c r="O19" s="1537"/>
      <c r="P19" s="1537"/>
      <c r="Q19" s="1537"/>
      <c r="R19" s="1537"/>
      <c r="S19" s="1537"/>
      <c r="T19" s="1537"/>
      <c r="U19" s="1537"/>
      <c r="V19" s="1537"/>
      <c r="W19" s="1537"/>
      <c r="X19" s="1537"/>
      <c r="Y19" s="1537"/>
      <c r="Z19" s="1537"/>
      <c r="AA19" s="1537"/>
      <c r="AB19" s="1537"/>
      <c r="AC19" s="1537"/>
      <c r="AD19" s="1537"/>
      <c r="AE19" s="1537"/>
      <c r="AF19" s="1537"/>
      <c r="AG19" s="1537"/>
      <c r="AH19" s="1537"/>
      <c r="AI19" s="1537"/>
      <c r="AJ19" s="1537"/>
      <c r="AK19" s="1537"/>
      <c r="AL19" s="1537"/>
      <c r="AM19" s="1537"/>
      <c r="AN19" s="1537"/>
      <c r="AO19" s="1537"/>
      <c r="AP19" s="1537"/>
      <c r="AQ19" s="1537"/>
      <c r="AR19" s="1537"/>
      <c r="AS19" s="1537"/>
      <c r="AT19" s="1537"/>
      <c r="AU19" s="1537"/>
      <c r="AV19" s="1537"/>
      <c r="AW19" s="1537"/>
      <c r="AX19" s="1537"/>
      <c r="AY19" s="1537"/>
      <c r="AZ19" s="1537"/>
      <c r="BA19" s="1537"/>
      <c r="BB19" s="1537"/>
      <c r="BC19" s="1537"/>
      <c r="BD19" s="1537"/>
      <c r="BE19" s="1537"/>
      <c r="BF19" s="1537"/>
      <c r="BG19" s="1537"/>
      <c r="BH19" s="1537"/>
      <c r="BI19" s="1537"/>
      <c r="BJ19" s="1537"/>
      <c r="BK19" s="1537"/>
      <c r="BL19" s="1537"/>
      <c r="BM19" s="1537"/>
      <c r="BN19" s="1537"/>
      <c r="BO19" s="1537"/>
      <c r="BP19" s="1537"/>
      <c r="BQ19" s="1537"/>
      <c r="BR19" s="1537"/>
      <c r="BS19" s="1537"/>
      <c r="BT19" s="1537"/>
      <c r="BU19" s="1537"/>
      <c r="BV19" s="1537"/>
      <c r="BW19" s="1537"/>
      <c r="BX19" s="1537"/>
      <c r="BY19" s="1537"/>
      <c r="BZ19" s="1537"/>
      <c r="CA19" s="1537"/>
      <c r="CB19" s="1537"/>
      <c r="CC19" s="1537"/>
      <c r="CD19" s="1537"/>
      <c r="CE19" s="1537"/>
      <c r="CF19" s="1537"/>
      <c r="CG19" s="1537"/>
      <c r="CH19" s="1537"/>
      <c r="CI19" s="1537"/>
      <c r="CJ19" s="1537"/>
      <c r="CK19" s="1537"/>
      <c r="CL19" s="1537"/>
      <c r="CM19" s="1537"/>
      <c r="CN19" s="1537"/>
      <c r="CO19" s="1537"/>
      <c r="CP19" s="1537"/>
      <c r="CQ19" s="1537"/>
      <c r="CR19" s="1537"/>
      <c r="CS19" s="1537"/>
      <c r="CT19" s="1537"/>
      <c r="CU19" s="1537"/>
      <c r="CV19" s="1537"/>
      <c r="CW19" s="1537"/>
      <c r="CX19" s="1537"/>
      <c r="CY19" s="1537"/>
      <c r="CZ19" s="1537"/>
      <c r="DA19" s="1537"/>
      <c r="DB19" s="1537"/>
      <c r="DC19" s="1537"/>
      <c r="DD19" s="1537"/>
      <c r="DE19" s="1537"/>
      <c r="DF19" s="1537"/>
      <c r="DG19" s="1537"/>
      <c r="DH19" s="1537"/>
      <c r="DI19" s="1537"/>
      <c r="DJ19" s="1537"/>
      <c r="DK19" s="1537"/>
      <c r="DL19" s="1537"/>
      <c r="DM19" s="1537"/>
      <c r="DN19" s="1537"/>
      <c r="DO19" s="1537"/>
      <c r="DP19" s="1537"/>
      <c r="DQ19" s="1537"/>
      <c r="DR19" s="1537"/>
      <c r="DS19" s="1537"/>
      <c r="DT19" s="1537"/>
      <c r="DU19" s="1537"/>
      <c r="DV19" s="1537"/>
      <c r="DW19" s="1537"/>
      <c r="DX19" s="1537"/>
      <c r="DY19" s="1537"/>
      <c r="DZ19" s="1537"/>
      <c r="EA19" s="1537"/>
      <c r="EB19" s="1537"/>
      <c r="EC19" s="1537"/>
      <c r="ED19" s="1537"/>
      <c r="EE19" s="1537"/>
      <c r="EF19" s="1537"/>
      <c r="EG19" s="1537"/>
      <c r="EH19" s="1537"/>
      <c r="EI19" s="1537"/>
      <c r="EJ19" s="1537"/>
      <c r="EK19" s="1537"/>
      <c r="EL19" s="1537"/>
      <c r="EM19" s="1537"/>
      <c r="EN19" s="1537"/>
      <c r="EO19" s="1537"/>
      <c r="EP19" s="1537"/>
      <c r="EQ19" s="1537"/>
      <c r="ER19" s="1537"/>
      <c r="ES19" s="1537"/>
      <c r="ET19" s="1537"/>
      <c r="EU19" s="1537"/>
      <c r="EV19" s="1537"/>
      <c r="EW19" s="1537"/>
      <c r="EX19" s="1537"/>
      <c r="EY19" s="1537"/>
      <c r="EZ19" s="1537"/>
      <c r="FA19" s="1537"/>
      <c r="FB19" s="1537"/>
      <c r="FC19" s="1537"/>
      <c r="FD19" s="1537"/>
      <c r="FE19" s="1537"/>
      <c r="FF19" s="1537"/>
      <c r="FG19" s="1537"/>
      <c r="FH19" s="1537"/>
      <c r="FI19" s="1537"/>
      <c r="FJ19" s="1537"/>
      <c r="FK19" s="1537"/>
      <c r="FL19" s="1537"/>
      <c r="FM19" s="1537"/>
      <c r="FN19" s="1537"/>
      <c r="FO19" s="1537"/>
      <c r="FP19" s="1537"/>
      <c r="FQ19" s="1537"/>
      <c r="FR19" s="1537"/>
      <c r="FS19" s="1537"/>
      <c r="FT19" s="1537"/>
      <c r="FU19" s="1537"/>
      <c r="FV19" s="1537"/>
      <c r="FW19" s="1537"/>
      <c r="FX19" s="1537"/>
      <c r="FY19" s="1537"/>
      <c r="FZ19" s="1537"/>
      <c r="GA19" s="1537"/>
      <c r="GB19" s="1537"/>
      <c r="GC19" s="1537"/>
      <c r="GD19" s="1537"/>
      <c r="GE19" s="1537"/>
      <c r="GF19" s="1537"/>
      <c r="GG19" s="1537"/>
      <c r="GH19" s="1537"/>
      <c r="GI19" s="1537"/>
      <c r="GJ19" s="1537"/>
      <c r="GK19" s="1537"/>
      <c r="GL19" s="1537"/>
      <c r="GM19" s="1537"/>
      <c r="GN19" s="1537"/>
      <c r="GO19" s="1537"/>
      <c r="GP19" s="1537"/>
      <c r="GQ19" s="1537"/>
      <c r="GR19" s="1537"/>
      <c r="GS19" s="1537"/>
      <c r="GT19" s="1537"/>
      <c r="GU19" s="1537"/>
      <c r="GV19" s="1537"/>
      <c r="GW19" s="1537"/>
      <c r="GX19" s="1537"/>
      <c r="GY19" s="1537"/>
      <c r="GZ19" s="1537"/>
      <c r="HA19" s="1537"/>
      <c r="HB19" s="1537"/>
      <c r="HC19" s="1537"/>
      <c r="HD19" s="1537"/>
      <c r="HE19" s="1537"/>
      <c r="HF19" s="1537"/>
      <c r="HG19" s="1537"/>
      <c r="HH19" s="1537"/>
      <c r="HI19" s="1537"/>
      <c r="HJ19" s="1537"/>
      <c r="HK19" s="1537"/>
      <c r="HL19" s="1537"/>
      <c r="HM19" s="1537"/>
      <c r="HN19" s="1537"/>
      <c r="HO19" s="1537"/>
      <c r="HP19" s="1537"/>
      <c r="HQ19" s="1537"/>
      <c r="HR19" s="1537"/>
      <c r="HS19" s="1537"/>
      <c r="HT19" s="1537"/>
      <c r="HU19" s="1537"/>
      <c r="HV19" s="1537"/>
      <c r="HW19" s="1537"/>
      <c r="HX19" s="1537"/>
      <c r="HY19" s="1537"/>
      <c r="HZ19" s="1537"/>
      <c r="IA19" s="1537"/>
      <c r="IB19" s="1537"/>
      <c r="IC19" s="1537"/>
      <c r="ID19" s="1537"/>
      <c r="IE19" s="1537"/>
      <c r="IF19" s="1537"/>
      <c r="IG19" s="1537"/>
      <c r="IH19" s="1537"/>
      <c r="II19" s="1537"/>
      <c r="IJ19" s="1537"/>
      <c r="IK19" s="1537"/>
      <c r="IL19" s="1537"/>
      <c r="IM19" s="1537"/>
      <c r="IN19" s="1537"/>
      <c r="IO19" s="1537"/>
      <c r="IP19" s="1537"/>
      <c r="IQ19" s="1537"/>
      <c r="IR19" s="1537"/>
      <c r="IS19" s="1537"/>
      <c r="IT19" s="1537"/>
      <c r="IU19" s="1537"/>
      <c r="IV19" s="1537"/>
    </row>
    <row r="20" spans="1:256">
      <c r="A20" s="1541">
        <f t="shared" ref="A20:A30" si="2">+A19+1</f>
        <v>7</v>
      </c>
      <c r="B20" s="1538" t="s">
        <v>514</v>
      </c>
      <c r="C20" s="629">
        <f t="shared" ref="C20:C30" si="3">+$H$14</f>
        <v>0</v>
      </c>
      <c r="D20" s="629">
        <f>D19+C20</f>
        <v>0</v>
      </c>
      <c r="E20" s="446">
        <v>28</v>
      </c>
      <c r="F20" s="446">
        <v>307</v>
      </c>
      <c r="G20" s="1549">
        <f t="shared" si="0"/>
        <v>0.84109589041095889</v>
      </c>
      <c r="H20" s="629">
        <f t="shared" si="1"/>
        <v>0</v>
      </c>
      <c r="I20" s="629">
        <f t="shared" ref="I20:I30" si="4">I19+H20</f>
        <v>0</v>
      </c>
      <c r="J20" s="1537"/>
      <c r="K20" s="1537"/>
      <c r="L20" s="1537"/>
      <c r="M20" s="1537"/>
      <c r="N20" s="1537"/>
      <c r="O20" s="1537"/>
      <c r="P20" s="1537"/>
      <c r="Q20" s="1537"/>
      <c r="R20" s="1537"/>
      <c r="S20" s="1537"/>
      <c r="T20" s="1537"/>
      <c r="U20" s="1537"/>
      <c r="V20" s="1537"/>
      <c r="W20" s="1537"/>
      <c r="X20" s="1537"/>
      <c r="Y20" s="1537"/>
      <c r="Z20" s="1537"/>
      <c r="AA20" s="1537"/>
      <c r="AB20" s="1537"/>
      <c r="AC20" s="1537"/>
      <c r="AD20" s="1537"/>
      <c r="AE20" s="1537"/>
      <c r="AF20" s="1537"/>
      <c r="AG20" s="1537"/>
      <c r="AH20" s="1537"/>
      <c r="AI20" s="1537"/>
      <c r="AJ20" s="1537"/>
      <c r="AK20" s="1537"/>
      <c r="AL20" s="1537"/>
      <c r="AM20" s="1537"/>
      <c r="AN20" s="1537"/>
      <c r="AO20" s="1537"/>
      <c r="AP20" s="1537"/>
      <c r="AQ20" s="1537"/>
      <c r="AR20" s="1537"/>
      <c r="AS20" s="1537"/>
      <c r="AT20" s="1537"/>
      <c r="AU20" s="1537"/>
      <c r="AV20" s="1537"/>
      <c r="AW20" s="1537"/>
      <c r="AX20" s="1537"/>
      <c r="AY20" s="1537"/>
      <c r="AZ20" s="1537"/>
      <c r="BA20" s="1537"/>
      <c r="BB20" s="1537"/>
      <c r="BC20" s="1537"/>
      <c r="BD20" s="1537"/>
      <c r="BE20" s="1537"/>
      <c r="BF20" s="1537"/>
      <c r="BG20" s="1537"/>
      <c r="BH20" s="1537"/>
      <c r="BI20" s="1537"/>
      <c r="BJ20" s="1537"/>
      <c r="BK20" s="1537"/>
      <c r="BL20" s="1537"/>
      <c r="BM20" s="1537"/>
      <c r="BN20" s="1537"/>
      <c r="BO20" s="1537"/>
      <c r="BP20" s="1537"/>
      <c r="BQ20" s="1537"/>
      <c r="BR20" s="1537"/>
      <c r="BS20" s="1537"/>
      <c r="BT20" s="1537"/>
      <c r="BU20" s="1537"/>
      <c r="BV20" s="1537"/>
      <c r="BW20" s="1537"/>
      <c r="BX20" s="1537"/>
      <c r="BY20" s="1537"/>
      <c r="BZ20" s="1537"/>
      <c r="CA20" s="1537"/>
      <c r="CB20" s="1537"/>
      <c r="CC20" s="1537"/>
      <c r="CD20" s="1537"/>
      <c r="CE20" s="1537"/>
      <c r="CF20" s="1537"/>
      <c r="CG20" s="1537"/>
      <c r="CH20" s="1537"/>
      <c r="CI20" s="1537"/>
      <c r="CJ20" s="1537"/>
      <c r="CK20" s="1537"/>
      <c r="CL20" s="1537"/>
      <c r="CM20" s="1537"/>
      <c r="CN20" s="1537"/>
      <c r="CO20" s="1537"/>
      <c r="CP20" s="1537"/>
      <c r="CQ20" s="1537"/>
      <c r="CR20" s="1537"/>
      <c r="CS20" s="1537"/>
      <c r="CT20" s="1537"/>
      <c r="CU20" s="1537"/>
      <c r="CV20" s="1537"/>
      <c r="CW20" s="1537"/>
      <c r="CX20" s="1537"/>
      <c r="CY20" s="1537"/>
      <c r="CZ20" s="1537"/>
      <c r="DA20" s="1537"/>
      <c r="DB20" s="1537"/>
      <c r="DC20" s="1537"/>
      <c r="DD20" s="1537"/>
      <c r="DE20" s="1537"/>
      <c r="DF20" s="1537"/>
      <c r="DG20" s="1537"/>
      <c r="DH20" s="1537"/>
      <c r="DI20" s="1537"/>
      <c r="DJ20" s="1537"/>
      <c r="DK20" s="1537"/>
      <c r="DL20" s="1537"/>
      <c r="DM20" s="1537"/>
      <c r="DN20" s="1537"/>
      <c r="DO20" s="1537"/>
      <c r="DP20" s="1537"/>
      <c r="DQ20" s="1537"/>
      <c r="DR20" s="1537"/>
      <c r="DS20" s="1537"/>
      <c r="DT20" s="1537"/>
      <c r="DU20" s="1537"/>
      <c r="DV20" s="1537"/>
      <c r="DW20" s="1537"/>
      <c r="DX20" s="1537"/>
      <c r="DY20" s="1537"/>
      <c r="DZ20" s="1537"/>
      <c r="EA20" s="1537"/>
      <c r="EB20" s="1537"/>
      <c r="EC20" s="1537"/>
      <c r="ED20" s="1537"/>
      <c r="EE20" s="1537"/>
      <c r="EF20" s="1537"/>
      <c r="EG20" s="1537"/>
      <c r="EH20" s="1537"/>
      <c r="EI20" s="1537"/>
      <c r="EJ20" s="1537"/>
      <c r="EK20" s="1537"/>
      <c r="EL20" s="1537"/>
      <c r="EM20" s="1537"/>
      <c r="EN20" s="1537"/>
      <c r="EO20" s="1537"/>
      <c r="EP20" s="1537"/>
      <c r="EQ20" s="1537"/>
      <c r="ER20" s="1537"/>
      <c r="ES20" s="1537"/>
      <c r="ET20" s="1537"/>
      <c r="EU20" s="1537"/>
      <c r="EV20" s="1537"/>
      <c r="EW20" s="1537"/>
      <c r="EX20" s="1537"/>
      <c r="EY20" s="1537"/>
      <c r="EZ20" s="1537"/>
      <c r="FA20" s="1537"/>
      <c r="FB20" s="1537"/>
      <c r="FC20" s="1537"/>
      <c r="FD20" s="1537"/>
      <c r="FE20" s="1537"/>
      <c r="FF20" s="1537"/>
      <c r="FG20" s="1537"/>
      <c r="FH20" s="1537"/>
      <c r="FI20" s="1537"/>
      <c r="FJ20" s="1537"/>
      <c r="FK20" s="1537"/>
      <c r="FL20" s="1537"/>
      <c r="FM20" s="1537"/>
      <c r="FN20" s="1537"/>
      <c r="FO20" s="1537"/>
      <c r="FP20" s="1537"/>
      <c r="FQ20" s="1537"/>
      <c r="FR20" s="1537"/>
      <c r="FS20" s="1537"/>
      <c r="FT20" s="1537"/>
      <c r="FU20" s="1537"/>
      <c r="FV20" s="1537"/>
      <c r="FW20" s="1537"/>
      <c r="FX20" s="1537"/>
      <c r="FY20" s="1537"/>
      <c r="FZ20" s="1537"/>
      <c r="GA20" s="1537"/>
      <c r="GB20" s="1537"/>
      <c r="GC20" s="1537"/>
      <c r="GD20" s="1537"/>
      <c r="GE20" s="1537"/>
      <c r="GF20" s="1537"/>
      <c r="GG20" s="1537"/>
      <c r="GH20" s="1537"/>
      <c r="GI20" s="1537"/>
      <c r="GJ20" s="1537"/>
      <c r="GK20" s="1537"/>
      <c r="GL20" s="1537"/>
      <c r="GM20" s="1537"/>
      <c r="GN20" s="1537"/>
      <c r="GO20" s="1537"/>
      <c r="GP20" s="1537"/>
      <c r="GQ20" s="1537"/>
      <c r="GR20" s="1537"/>
      <c r="GS20" s="1537"/>
      <c r="GT20" s="1537"/>
      <c r="GU20" s="1537"/>
      <c r="GV20" s="1537"/>
      <c r="GW20" s="1537"/>
      <c r="GX20" s="1537"/>
      <c r="GY20" s="1537"/>
      <c r="GZ20" s="1537"/>
      <c r="HA20" s="1537"/>
      <c r="HB20" s="1537"/>
      <c r="HC20" s="1537"/>
      <c r="HD20" s="1537"/>
      <c r="HE20" s="1537"/>
      <c r="HF20" s="1537"/>
      <c r="HG20" s="1537"/>
      <c r="HH20" s="1537"/>
      <c r="HI20" s="1537"/>
      <c r="HJ20" s="1537"/>
      <c r="HK20" s="1537"/>
      <c r="HL20" s="1537"/>
      <c r="HM20" s="1537"/>
      <c r="HN20" s="1537"/>
      <c r="HO20" s="1537"/>
      <c r="HP20" s="1537"/>
      <c r="HQ20" s="1537"/>
      <c r="HR20" s="1537"/>
      <c r="HS20" s="1537"/>
      <c r="HT20" s="1537"/>
      <c r="HU20" s="1537"/>
      <c r="HV20" s="1537"/>
      <c r="HW20" s="1537"/>
      <c r="HX20" s="1537"/>
      <c r="HY20" s="1537"/>
      <c r="HZ20" s="1537"/>
      <c r="IA20" s="1537"/>
      <c r="IB20" s="1537"/>
      <c r="IC20" s="1537"/>
      <c r="ID20" s="1537"/>
      <c r="IE20" s="1537"/>
      <c r="IF20" s="1537"/>
      <c r="IG20" s="1537"/>
      <c r="IH20" s="1537"/>
      <c r="II20" s="1537"/>
      <c r="IJ20" s="1537"/>
      <c r="IK20" s="1537"/>
      <c r="IL20" s="1537"/>
      <c r="IM20" s="1537"/>
      <c r="IN20" s="1537"/>
      <c r="IO20" s="1537"/>
      <c r="IP20" s="1537"/>
      <c r="IQ20" s="1537"/>
      <c r="IR20" s="1537"/>
      <c r="IS20" s="1537"/>
      <c r="IT20" s="1537"/>
      <c r="IU20" s="1537"/>
      <c r="IV20" s="1537"/>
    </row>
    <row r="21" spans="1:256">
      <c r="A21" s="1541">
        <f t="shared" si="2"/>
        <v>8</v>
      </c>
      <c r="B21" s="1538" t="s">
        <v>322</v>
      </c>
      <c r="C21" s="629">
        <f t="shared" si="3"/>
        <v>0</v>
      </c>
      <c r="D21" s="629">
        <f>D20+C21</f>
        <v>0</v>
      </c>
      <c r="E21" s="1538">
        <v>31</v>
      </c>
      <c r="F21" s="446">
        <v>276</v>
      </c>
      <c r="G21" s="1549">
        <f t="shared" si="0"/>
        <v>0.75616438356164384</v>
      </c>
      <c r="H21" s="629">
        <f t="shared" si="1"/>
        <v>0</v>
      </c>
      <c r="I21" s="629">
        <f t="shared" si="4"/>
        <v>0</v>
      </c>
      <c r="J21" s="1537"/>
      <c r="K21" s="1537"/>
      <c r="L21" s="1537"/>
      <c r="M21" s="1537"/>
      <c r="N21" s="1537"/>
      <c r="O21" s="1537"/>
      <c r="P21" s="1537"/>
      <c r="Q21" s="1537"/>
      <c r="R21" s="1537"/>
      <c r="S21" s="1537"/>
      <c r="T21" s="1537"/>
      <c r="U21" s="1537"/>
      <c r="V21" s="1537"/>
      <c r="W21" s="1537"/>
      <c r="X21" s="1537"/>
      <c r="Y21" s="1537"/>
      <c r="Z21" s="1537"/>
      <c r="AA21" s="1537"/>
      <c r="AB21" s="1537"/>
      <c r="AC21" s="1537"/>
      <c r="AD21" s="1537"/>
      <c r="AE21" s="1537"/>
      <c r="AF21" s="1537"/>
      <c r="AG21" s="1537"/>
      <c r="AH21" s="1537"/>
      <c r="AI21" s="1537"/>
      <c r="AJ21" s="1537"/>
      <c r="AK21" s="1537"/>
      <c r="AL21" s="1537"/>
      <c r="AM21" s="1537"/>
      <c r="AN21" s="1537"/>
      <c r="AO21" s="1537"/>
      <c r="AP21" s="1537"/>
      <c r="AQ21" s="1537"/>
      <c r="AR21" s="1537"/>
      <c r="AS21" s="1537"/>
      <c r="AT21" s="1537"/>
      <c r="AU21" s="1537"/>
      <c r="AV21" s="1537"/>
      <c r="AW21" s="1537"/>
      <c r="AX21" s="1537"/>
      <c r="AY21" s="1537"/>
      <c r="AZ21" s="1537"/>
      <c r="BA21" s="1537"/>
      <c r="BB21" s="1537"/>
      <c r="BC21" s="1537"/>
      <c r="BD21" s="1537"/>
      <c r="BE21" s="1537"/>
      <c r="BF21" s="1537"/>
      <c r="BG21" s="1537"/>
      <c r="BH21" s="1537"/>
      <c r="BI21" s="1537"/>
      <c r="BJ21" s="1537"/>
      <c r="BK21" s="1537"/>
      <c r="BL21" s="1537"/>
      <c r="BM21" s="1537"/>
      <c r="BN21" s="1537"/>
      <c r="BO21" s="1537"/>
      <c r="BP21" s="1537"/>
      <c r="BQ21" s="1537"/>
      <c r="BR21" s="1537"/>
      <c r="BS21" s="1537"/>
      <c r="BT21" s="1537"/>
      <c r="BU21" s="1537"/>
      <c r="BV21" s="1537"/>
      <c r="BW21" s="1537"/>
      <c r="BX21" s="1537"/>
      <c r="BY21" s="1537"/>
      <c r="BZ21" s="1537"/>
      <c r="CA21" s="1537"/>
      <c r="CB21" s="1537"/>
      <c r="CC21" s="1537"/>
      <c r="CD21" s="1537"/>
      <c r="CE21" s="1537"/>
      <c r="CF21" s="1537"/>
      <c r="CG21" s="1537"/>
      <c r="CH21" s="1537"/>
      <c r="CI21" s="1537"/>
      <c r="CJ21" s="1537"/>
      <c r="CK21" s="1537"/>
      <c r="CL21" s="1537"/>
      <c r="CM21" s="1537"/>
      <c r="CN21" s="1537"/>
      <c r="CO21" s="1537"/>
      <c r="CP21" s="1537"/>
      <c r="CQ21" s="1537"/>
      <c r="CR21" s="1537"/>
      <c r="CS21" s="1537"/>
      <c r="CT21" s="1537"/>
      <c r="CU21" s="1537"/>
      <c r="CV21" s="1537"/>
      <c r="CW21" s="1537"/>
      <c r="CX21" s="1537"/>
      <c r="CY21" s="1537"/>
      <c r="CZ21" s="1537"/>
      <c r="DA21" s="1537"/>
      <c r="DB21" s="1537"/>
      <c r="DC21" s="1537"/>
      <c r="DD21" s="1537"/>
      <c r="DE21" s="1537"/>
      <c r="DF21" s="1537"/>
      <c r="DG21" s="1537"/>
      <c r="DH21" s="1537"/>
      <c r="DI21" s="1537"/>
      <c r="DJ21" s="1537"/>
      <c r="DK21" s="1537"/>
      <c r="DL21" s="1537"/>
      <c r="DM21" s="1537"/>
      <c r="DN21" s="1537"/>
      <c r="DO21" s="1537"/>
      <c r="DP21" s="1537"/>
      <c r="DQ21" s="1537"/>
      <c r="DR21" s="1537"/>
      <c r="DS21" s="1537"/>
      <c r="DT21" s="1537"/>
      <c r="DU21" s="1537"/>
      <c r="DV21" s="1537"/>
      <c r="DW21" s="1537"/>
      <c r="DX21" s="1537"/>
      <c r="DY21" s="1537"/>
      <c r="DZ21" s="1537"/>
      <c r="EA21" s="1537"/>
      <c r="EB21" s="1537"/>
      <c r="EC21" s="1537"/>
      <c r="ED21" s="1537"/>
      <c r="EE21" s="1537"/>
      <c r="EF21" s="1537"/>
      <c r="EG21" s="1537"/>
      <c r="EH21" s="1537"/>
      <c r="EI21" s="1537"/>
      <c r="EJ21" s="1537"/>
      <c r="EK21" s="1537"/>
      <c r="EL21" s="1537"/>
      <c r="EM21" s="1537"/>
      <c r="EN21" s="1537"/>
      <c r="EO21" s="1537"/>
      <c r="EP21" s="1537"/>
      <c r="EQ21" s="1537"/>
      <c r="ER21" s="1537"/>
      <c r="ES21" s="1537"/>
      <c r="ET21" s="1537"/>
      <c r="EU21" s="1537"/>
      <c r="EV21" s="1537"/>
      <c r="EW21" s="1537"/>
      <c r="EX21" s="1537"/>
      <c r="EY21" s="1537"/>
      <c r="EZ21" s="1537"/>
      <c r="FA21" s="1537"/>
      <c r="FB21" s="1537"/>
      <c r="FC21" s="1537"/>
      <c r="FD21" s="1537"/>
      <c r="FE21" s="1537"/>
      <c r="FF21" s="1537"/>
      <c r="FG21" s="1537"/>
      <c r="FH21" s="1537"/>
      <c r="FI21" s="1537"/>
      <c r="FJ21" s="1537"/>
      <c r="FK21" s="1537"/>
      <c r="FL21" s="1537"/>
      <c r="FM21" s="1537"/>
      <c r="FN21" s="1537"/>
      <c r="FO21" s="1537"/>
      <c r="FP21" s="1537"/>
      <c r="FQ21" s="1537"/>
      <c r="FR21" s="1537"/>
      <c r="FS21" s="1537"/>
      <c r="FT21" s="1537"/>
      <c r="FU21" s="1537"/>
      <c r="FV21" s="1537"/>
      <c r="FW21" s="1537"/>
      <c r="FX21" s="1537"/>
      <c r="FY21" s="1537"/>
      <c r="FZ21" s="1537"/>
      <c r="GA21" s="1537"/>
      <c r="GB21" s="1537"/>
      <c r="GC21" s="1537"/>
      <c r="GD21" s="1537"/>
      <c r="GE21" s="1537"/>
      <c r="GF21" s="1537"/>
      <c r="GG21" s="1537"/>
      <c r="GH21" s="1537"/>
      <c r="GI21" s="1537"/>
      <c r="GJ21" s="1537"/>
      <c r="GK21" s="1537"/>
      <c r="GL21" s="1537"/>
      <c r="GM21" s="1537"/>
      <c r="GN21" s="1537"/>
      <c r="GO21" s="1537"/>
      <c r="GP21" s="1537"/>
      <c r="GQ21" s="1537"/>
      <c r="GR21" s="1537"/>
      <c r="GS21" s="1537"/>
      <c r="GT21" s="1537"/>
      <c r="GU21" s="1537"/>
      <c r="GV21" s="1537"/>
      <c r="GW21" s="1537"/>
      <c r="GX21" s="1537"/>
      <c r="GY21" s="1537"/>
      <c r="GZ21" s="1537"/>
      <c r="HA21" s="1537"/>
      <c r="HB21" s="1537"/>
      <c r="HC21" s="1537"/>
      <c r="HD21" s="1537"/>
      <c r="HE21" s="1537"/>
      <c r="HF21" s="1537"/>
      <c r="HG21" s="1537"/>
      <c r="HH21" s="1537"/>
      <c r="HI21" s="1537"/>
      <c r="HJ21" s="1537"/>
      <c r="HK21" s="1537"/>
      <c r="HL21" s="1537"/>
      <c r="HM21" s="1537"/>
      <c r="HN21" s="1537"/>
      <c r="HO21" s="1537"/>
      <c r="HP21" s="1537"/>
      <c r="HQ21" s="1537"/>
      <c r="HR21" s="1537"/>
      <c r="HS21" s="1537"/>
      <c r="HT21" s="1537"/>
      <c r="HU21" s="1537"/>
      <c r="HV21" s="1537"/>
      <c r="HW21" s="1537"/>
      <c r="HX21" s="1537"/>
      <c r="HY21" s="1537"/>
      <c r="HZ21" s="1537"/>
      <c r="IA21" s="1537"/>
      <c r="IB21" s="1537"/>
      <c r="IC21" s="1537"/>
      <c r="ID21" s="1537"/>
      <c r="IE21" s="1537"/>
      <c r="IF21" s="1537"/>
      <c r="IG21" s="1537"/>
      <c r="IH21" s="1537"/>
      <c r="II21" s="1537"/>
      <c r="IJ21" s="1537"/>
      <c r="IK21" s="1537"/>
      <c r="IL21" s="1537"/>
      <c r="IM21" s="1537"/>
      <c r="IN21" s="1537"/>
      <c r="IO21" s="1537"/>
      <c r="IP21" s="1537"/>
      <c r="IQ21" s="1537"/>
      <c r="IR21" s="1537"/>
      <c r="IS21" s="1537"/>
      <c r="IT21" s="1537"/>
      <c r="IU21" s="1537"/>
      <c r="IV21" s="1537"/>
    </row>
    <row r="22" spans="1:256">
      <c r="A22" s="1541">
        <f t="shared" si="2"/>
        <v>9</v>
      </c>
      <c r="B22" s="1538" t="s">
        <v>323</v>
      </c>
      <c r="C22" s="629">
        <f t="shared" si="3"/>
        <v>0</v>
      </c>
      <c r="D22" s="629">
        <f t="shared" ref="D22:D30" si="5">D21+C22</f>
        <v>0</v>
      </c>
      <c r="E22" s="1538">
        <v>30</v>
      </c>
      <c r="F22" s="446">
        <v>246</v>
      </c>
      <c r="G22" s="1549">
        <f t="shared" si="0"/>
        <v>0.67397260273972603</v>
      </c>
      <c r="H22" s="629">
        <f t="shared" si="1"/>
        <v>0</v>
      </c>
      <c r="I22" s="629">
        <f t="shared" si="4"/>
        <v>0</v>
      </c>
      <c r="J22" s="1537"/>
      <c r="K22" s="1537"/>
      <c r="L22" s="1537"/>
      <c r="M22" s="1537"/>
      <c r="N22" s="1537"/>
      <c r="O22" s="1537"/>
      <c r="P22" s="1537"/>
      <c r="Q22" s="1537"/>
      <c r="R22" s="1537"/>
      <c r="S22" s="1537"/>
      <c r="T22" s="1537"/>
      <c r="U22" s="1537"/>
      <c r="V22" s="1537"/>
      <c r="W22" s="1537"/>
      <c r="X22" s="1537"/>
      <c r="Y22" s="1537"/>
      <c r="Z22" s="1537"/>
      <c r="AA22" s="1537"/>
      <c r="AB22" s="1537"/>
      <c r="AC22" s="1537"/>
      <c r="AD22" s="1537"/>
      <c r="AE22" s="1537"/>
      <c r="AF22" s="1537"/>
      <c r="AG22" s="1537"/>
      <c r="AH22" s="1537"/>
      <c r="AI22" s="1537"/>
      <c r="AJ22" s="1537"/>
      <c r="AK22" s="1537"/>
      <c r="AL22" s="1537"/>
      <c r="AM22" s="1537"/>
      <c r="AN22" s="1537"/>
      <c r="AO22" s="1537"/>
      <c r="AP22" s="1537"/>
      <c r="AQ22" s="1537"/>
      <c r="AR22" s="1537"/>
      <c r="AS22" s="1537"/>
      <c r="AT22" s="1537"/>
      <c r="AU22" s="1537"/>
      <c r="AV22" s="1537"/>
      <c r="AW22" s="1537"/>
      <c r="AX22" s="1537"/>
      <c r="AY22" s="1537"/>
      <c r="AZ22" s="1537"/>
      <c r="BA22" s="1537"/>
      <c r="BB22" s="1537"/>
      <c r="BC22" s="1537"/>
      <c r="BD22" s="1537"/>
      <c r="BE22" s="1537"/>
      <c r="BF22" s="1537"/>
      <c r="BG22" s="1537"/>
      <c r="BH22" s="1537"/>
      <c r="BI22" s="1537"/>
      <c r="BJ22" s="1537"/>
      <c r="BK22" s="1537"/>
      <c r="BL22" s="1537"/>
      <c r="BM22" s="1537"/>
      <c r="BN22" s="1537"/>
      <c r="BO22" s="1537"/>
      <c r="BP22" s="1537"/>
      <c r="BQ22" s="1537"/>
      <c r="BR22" s="1537"/>
      <c r="BS22" s="1537"/>
      <c r="BT22" s="1537"/>
      <c r="BU22" s="1537"/>
      <c r="BV22" s="1537"/>
      <c r="BW22" s="1537"/>
      <c r="BX22" s="1537"/>
      <c r="BY22" s="1537"/>
      <c r="BZ22" s="1537"/>
      <c r="CA22" s="1537"/>
      <c r="CB22" s="1537"/>
      <c r="CC22" s="1537"/>
      <c r="CD22" s="1537"/>
      <c r="CE22" s="1537"/>
      <c r="CF22" s="1537"/>
      <c r="CG22" s="1537"/>
      <c r="CH22" s="1537"/>
      <c r="CI22" s="1537"/>
      <c r="CJ22" s="1537"/>
      <c r="CK22" s="1537"/>
      <c r="CL22" s="1537"/>
      <c r="CM22" s="1537"/>
      <c r="CN22" s="1537"/>
      <c r="CO22" s="1537"/>
      <c r="CP22" s="1537"/>
      <c r="CQ22" s="1537"/>
      <c r="CR22" s="1537"/>
      <c r="CS22" s="1537"/>
      <c r="CT22" s="1537"/>
      <c r="CU22" s="1537"/>
      <c r="CV22" s="1537"/>
      <c r="CW22" s="1537"/>
      <c r="CX22" s="1537"/>
      <c r="CY22" s="1537"/>
      <c r="CZ22" s="1537"/>
      <c r="DA22" s="1537"/>
      <c r="DB22" s="1537"/>
      <c r="DC22" s="1537"/>
      <c r="DD22" s="1537"/>
      <c r="DE22" s="1537"/>
      <c r="DF22" s="1537"/>
      <c r="DG22" s="1537"/>
      <c r="DH22" s="1537"/>
      <c r="DI22" s="1537"/>
      <c r="DJ22" s="1537"/>
      <c r="DK22" s="1537"/>
      <c r="DL22" s="1537"/>
      <c r="DM22" s="1537"/>
      <c r="DN22" s="1537"/>
      <c r="DO22" s="1537"/>
      <c r="DP22" s="1537"/>
      <c r="DQ22" s="1537"/>
      <c r="DR22" s="1537"/>
      <c r="DS22" s="1537"/>
      <c r="DT22" s="1537"/>
      <c r="DU22" s="1537"/>
      <c r="DV22" s="1537"/>
      <c r="DW22" s="1537"/>
      <c r="DX22" s="1537"/>
      <c r="DY22" s="1537"/>
      <c r="DZ22" s="1537"/>
      <c r="EA22" s="1537"/>
      <c r="EB22" s="1537"/>
      <c r="EC22" s="1537"/>
      <c r="ED22" s="1537"/>
      <c r="EE22" s="1537"/>
      <c r="EF22" s="1537"/>
      <c r="EG22" s="1537"/>
      <c r="EH22" s="1537"/>
      <c r="EI22" s="1537"/>
      <c r="EJ22" s="1537"/>
      <c r="EK22" s="1537"/>
      <c r="EL22" s="1537"/>
      <c r="EM22" s="1537"/>
      <c r="EN22" s="1537"/>
      <c r="EO22" s="1537"/>
      <c r="EP22" s="1537"/>
      <c r="EQ22" s="1537"/>
      <c r="ER22" s="1537"/>
      <c r="ES22" s="1537"/>
      <c r="ET22" s="1537"/>
      <c r="EU22" s="1537"/>
      <c r="EV22" s="1537"/>
      <c r="EW22" s="1537"/>
      <c r="EX22" s="1537"/>
      <c r="EY22" s="1537"/>
      <c r="EZ22" s="1537"/>
      <c r="FA22" s="1537"/>
      <c r="FB22" s="1537"/>
      <c r="FC22" s="1537"/>
      <c r="FD22" s="1537"/>
      <c r="FE22" s="1537"/>
      <c r="FF22" s="1537"/>
      <c r="FG22" s="1537"/>
      <c r="FH22" s="1537"/>
      <c r="FI22" s="1537"/>
      <c r="FJ22" s="1537"/>
      <c r="FK22" s="1537"/>
      <c r="FL22" s="1537"/>
      <c r="FM22" s="1537"/>
      <c r="FN22" s="1537"/>
      <c r="FO22" s="1537"/>
      <c r="FP22" s="1537"/>
      <c r="FQ22" s="1537"/>
      <c r="FR22" s="1537"/>
      <c r="FS22" s="1537"/>
      <c r="FT22" s="1537"/>
      <c r="FU22" s="1537"/>
      <c r="FV22" s="1537"/>
      <c r="FW22" s="1537"/>
      <c r="FX22" s="1537"/>
      <c r="FY22" s="1537"/>
      <c r="FZ22" s="1537"/>
      <c r="GA22" s="1537"/>
      <c r="GB22" s="1537"/>
      <c r="GC22" s="1537"/>
      <c r="GD22" s="1537"/>
      <c r="GE22" s="1537"/>
      <c r="GF22" s="1537"/>
      <c r="GG22" s="1537"/>
      <c r="GH22" s="1537"/>
      <c r="GI22" s="1537"/>
      <c r="GJ22" s="1537"/>
      <c r="GK22" s="1537"/>
      <c r="GL22" s="1537"/>
      <c r="GM22" s="1537"/>
      <c r="GN22" s="1537"/>
      <c r="GO22" s="1537"/>
      <c r="GP22" s="1537"/>
      <c r="GQ22" s="1537"/>
      <c r="GR22" s="1537"/>
      <c r="GS22" s="1537"/>
      <c r="GT22" s="1537"/>
      <c r="GU22" s="1537"/>
      <c r="GV22" s="1537"/>
      <c r="GW22" s="1537"/>
      <c r="GX22" s="1537"/>
      <c r="GY22" s="1537"/>
      <c r="GZ22" s="1537"/>
      <c r="HA22" s="1537"/>
      <c r="HB22" s="1537"/>
      <c r="HC22" s="1537"/>
      <c r="HD22" s="1537"/>
      <c r="HE22" s="1537"/>
      <c r="HF22" s="1537"/>
      <c r="HG22" s="1537"/>
      <c r="HH22" s="1537"/>
      <c r="HI22" s="1537"/>
      <c r="HJ22" s="1537"/>
      <c r="HK22" s="1537"/>
      <c r="HL22" s="1537"/>
      <c r="HM22" s="1537"/>
      <c r="HN22" s="1537"/>
      <c r="HO22" s="1537"/>
      <c r="HP22" s="1537"/>
      <c r="HQ22" s="1537"/>
      <c r="HR22" s="1537"/>
      <c r="HS22" s="1537"/>
      <c r="HT22" s="1537"/>
      <c r="HU22" s="1537"/>
      <c r="HV22" s="1537"/>
      <c r="HW22" s="1537"/>
      <c r="HX22" s="1537"/>
      <c r="HY22" s="1537"/>
      <c r="HZ22" s="1537"/>
      <c r="IA22" s="1537"/>
      <c r="IB22" s="1537"/>
      <c r="IC22" s="1537"/>
      <c r="ID22" s="1537"/>
      <c r="IE22" s="1537"/>
      <c r="IF22" s="1537"/>
      <c r="IG22" s="1537"/>
      <c r="IH22" s="1537"/>
      <c r="II22" s="1537"/>
      <c r="IJ22" s="1537"/>
      <c r="IK22" s="1537"/>
      <c r="IL22" s="1537"/>
      <c r="IM22" s="1537"/>
      <c r="IN22" s="1537"/>
      <c r="IO22" s="1537"/>
      <c r="IP22" s="1537"/>
      <c r="IQ22" s="1537"/>
      <c r="IR22" s="1537"/>
      <c r="IS22" s="1537"/>
      <c r="IT22" s="1537"/>
      <c r="IU22" s="1537"/>
      <c r="IV22" s="1537"/>
    </row>
    <row r="23" spans="1:256">
      <c r="A23" s="1541">
        <f t="shared" si="2"/>
        <v>10</v>
      </c>
      <c r="B23" s="1538" t="s">
        <v>324</v>
      </c>
      <c r="C23" s="629">
        <f t="shared" si="3"/>
        <v>0</v>
      </c>
      <c r="D23" s="629">
        <f t="shared" si="5"/>
        <v>0</v>
      </c>
      <c r="E23" s="1538">
        <v>31</v>
      </c>
      <c r="F23" s="446">
        <v>215</v>
      </c>
      <c r="G23" s="1549">
        <f t="shared" si="0"/>
        <v>0.58904109589041098</v>
      </c>
      <c r="H23" s="629">
        <f t="shared" si="1"/>
        <v>0</v>
      </c>
      <c r="I23" s="629">
        <f>I22+H23</f>
        <v>0</v>
      </c>
      <c r="J23" s="1537"/>
      <c r="K23" s="1537"/>
      <c r="L23" s="1537"/>
      <c r="M23" s="1537"/>
      <c r="N23" s="1537"/>
      <c r="O23" s="1537"/>
      <c r="P23" s="1537"/>
      <c r="Q23" s="1537"/>
      <c r="R23" s="1537"/>
      <c r="S23" s="1537"/>
      <c r="T23" s="1537"/>
      <c r="U23" s="1537"/>
      <c r="V23" s="1537"/>
      <c r="W23" s="1537"/>
      <c r="X23" s="1537"/>
      <c r="Y23" s="1537"/>
      <c r="Z23" s="1537"/>
      <c r="AA23" s="1537"/>
      <c r="AB23" s="1537"/>
      <c r="AC23" s="1537"/>
      <c r="AD23" s="1537"/>
      <c r="AE23" s="1537"/>
      <c r="AF23" s="1537"/>
      <c r="AG23" s="1537"/>
      <c r="AH23" s="1537"/>
      <c r="AI23" s="1537"/>
      <c r="AJ23" s="1537"/>
      <c r="AK23" s="1537"/>
      <c r="AL23" s="1537"/>
      <c r="AM23" s="1537"/>
      <c r="AN23" s="1537"/>
      <c r="AO23" s="1537"/>
      <c r="AP23" s="1537"/>
      <c r="AQ23" s="1537"/>
      <c r="AR23" s="1537"/>
      <c r="AS23" s="1537"/>
      <c r="AT23" s="1537"/>
      <c r="AU23" s="1537"/>
      <c r="AV23" s="1537"/>
      <c r="AW23" s="1537"/>
      <c r="AX23" s="1537"/>
      <c r="AY23" s="1537"/>
      <c r="AZ23" s="1537"/>
      <c r="BA23" s="1537"/>
      <c r="BB23" s="1537"/>
      <c r="BC23" s="1537"/>
      <c r="BD23" s="1537"/>
      <c r="BE23" s="1537"/>
      <c r="BF23" s="1537"/>
      <c r="BG23" s="1537"/>
      <c r="BH23" s="1537"/>
      <c r="BI23" s="1537"/>
      <c r="BJ23" s="1537"/>
      <c r="BK23" s="1537"/>
      <c r="BL23" s="1537"/>
      <c r="BM23" s="1537"/>
      <c r="BN23" s="1537"/>
      <c r="BO23" s="1537"/>
      <c r="BP23" s="1537"/>
      <c r="BQ23" s="1537"/>
      <c r="BR23" s="1537"/>
      <c r="BS23" s="1537"/>
      <c r="BT23" s="1537"/>
      <c r="BU23" s="1537"/>
      <c r="BV23" s="1537"/>
      <c r="BW23" s="1537"/>
      <c r="BX23" s="1537"/>
      <c r="BY23" s="1537"/>
      <c r="BZ23" s="1537"/>
      <c r="CA23" s="1537"/>
      <c r="CB23" s="1537"/>
      <c r="CC23" s="1537"/>
      <c r="CD23" s="1537"/>
      <c r="CE23" s="1537"/>
      <c r="CF23" s="1537"/>
      <c r="CG23" s="1537"/>
      <c r="CH23" s="1537"/>
      <c r="CI23" s="1537"/>
      <c r="CJ23" s="1537"/>
      <c r="CK23" s="1537"/>
      <c r="CL23" s="1537"/>
      <c r="CM23" s="1537"/>
      <c r="CN23" s="1537"/>
      <c r="CO23" s="1537"/>
      <c r="CP23" s="1537"/>
      <c r="CQ23" s="1537"/>
      <c r="CR23" s="1537"/>
      <c r="CS23" s="1537"/>
      <c r="CT23" s="1537"/>
      <c r="CU23" s="1537"/>
      <c r="CV23" s="1537"/>
      <c r="CW23" s="1537"/>
      <c r="CX23" s="1537"/>
      <c r="CY23" s="1537"/>
      <c r="CZ23" s="1537"/>
      <c r="DA23" s="1537"/>
      <c r="DB23" s="1537"/>
      <c r="DC23" s="1537"/>
      <c r="DD23" s="1537"/>
      <c r="DE23" s="1537"/>
      <c r="DF23" s="1537"/>
      <c r="DG23" s="1537"/>
      <c r="DH23" s="1537"/>
      <c r="DI23" s="1537"/>
      <c r="DJ23" s="1537"/>
      <c r="DK23" s="1537"/>
      <c r="DL23" s="1537"/>
      <c r="DM23" s="1537"/>
      <c r="DN23" s="1537"/>
      <c r="DO23" s="1537"/>
      <c r="DP23" s="1537"/>
      <c r="DQ23" s="1537"/>
      <c r="DR23" s="1537"/>
      <c r="DS23" s="1537"/>
      <c r="DT23" s="1537"/>
      <c r="DU23" s="1537"/>
      <c r="DV23" s="1537"/>
      <c r="DW23" s="1537"/>
      <c r="DX23" s="1537"/>
      <c r="DY23" s="1537"/>
      <c r="DZ23" s="1537"/>
      <c r="EA23" s="1537"/>
      <c r="EB23" s="1537"/>
      <c r="EC23" s="1537"/>
      <c r="ED23" s="1537"/>
      <c r="EE23" s="1537"/>
      <c r="EF23" s="1537"/>
      <c r="EG23" s="1537"/>
      <c r="EH23" s="1537"/>
      <c r="EI23" s="1537"/>
      <c r="EJ23" s="1537"/>
      <c r="EK23" s="1537"/>
      <c r="EL23" s="1537"/>
      <c r="EM23" s="1537"/>
      <c r="EN23" s="1537"/>
      <c r="EO23" s="1537"/>
      <c r="EP23" s="1537"/>
      <c r="EQ23" s="1537"/>
      <c r="ER23" s="1537"/>
      <c r="ES23" s="1537"/>
      <c r="ET23" s="1537"/>
      <c r="EU23" s="1537"/>
      <c r="EV23" s="1537"/>
      <c r="EW23" s="1537"/>
      <c r="EX23" s="1537"/>
      <c r="EY23" s="1537"/>
      <c r="EZ23" s="1537"/>
      <c r="FA23" s="1537"/>
      <c r="FB23" s="1537"/>
      <c r="FC23" s="1537"/>
      <c r="FD23" s="1537"/>
      <c r="FE23" s="1537"/>
      <c r="FF23" s="1537"/>
      <c r="FG23" s="1537"/>
      <c r="FH23" s="1537"/>
      <c r="FI23" s="1537"/>
      <c r="FJ23" s="1537"/>
      <c r="FK23" s="1537"/>
      <c r="FL23" s="1537"/>
      <c r="FM23" s="1537"/>
      <c r="FN23" s="1537"/>
      <c r="FO23" s="1537"/>
      <c r="FP23" s="1537"/>
      <c r="FQ23" s="1537"/>
      <c r="FR23" s="1537"/>
      <c r="FS23" s="1537"/>
      <c r="FT23" s="1537"/>
      <c r="FU23" s="1537"/>
      <c r="FV23" s="1537"/>
      <c r="FW23" s="1537"/>
      <c r="FX23" s="1537"/>
      <c r="FY23" s="1537"/>
      <c r="FZ23" s="1537"/>
      <c r="GA23" s="1537"/>
      <c r="GB23" s="1537"/>
      <c r="GC23" s="1537"/>
      <c r="GD23" s="1537"/>
      <c r="GE23" s="1537"/>
      <c r="GF23" s="1537"/>
      <c r="GG23" s="1537"/>
      <c r="GH23" s="1537"/>
      <c r="GI23" s="1537"/>
      <c r="GJ23" s="1537"/>
      <c r="GK23" s="1537"/>
      <c r="GL23" s="1537"/>
      <c r="GM23" s="1537"/>
      <c r="GN23" s="1537"/>
      <c r="GO23" s="1537"/>
      <c r="GP23" s="1537"/>
      <c r="GQ23" s="1537"/>
      <c r="GR23" s="1537"/>
      <c r="GS23" s="1537"/>
      <c r="GT23" s="1537"/>
      <c r="GU23" s="1537"/>
      <c r="GV23" s="1537"/>
      <c r="GW23" s="1537"/>
      <c r="GX23" s="1537"/>
      <c r="GY23" s="1537"/>
      <c r="GZ23" s="1537"/>
      <c r="HA23" s="1537"/>
      <c r="HB23" s="1537"/>
      <c r="HC23" s="1537"/>
      <c r="HD23" s="1537"/>
      <c r="HE23" s="1537"/>
      <c r="HF23" s="1537"/>
      <c r="HG23" s="1537"/>
      <c r="HH23" s="1537"/>
      <c r="HI23" s="1537"/>
      <c r="HJ23" s="1537"/>
      <c r="HK23" s="1537"/>
      <c r="HL23" s="1537"/>
      <c r="HM23" s="1537"/>
      <c r="HN23" s="1537"/>
      <c r="HO23" s="1537"/>
      <c r="HP23" s="1537"/>
      <c r="HQ23" s="1537"/>
      <c r="HR23" s="1537"/>
      <c r="HS23" s="1537"/>
      <c r="HT23" s="1537"/>
      <c r="HU23" s="1537"/>
      <c r="HV23" s="1537"/>
      <c r="HW23" s="1537"/>
      <c r="HX23" s="1537"/>
      <c r="HY23" s="1537"/>
      <c r="HZ23" s="1537"/>
      <c r="IA23" s="1537"/>
      <c r="IB23" s="1537"/>
      <c r="IC23" s="1537"/>
      <c r="ID23" s="1537"/>
      <c r="IE23" s="1537"/>
      <c r="IF23" s="1537"/>
      <c r="IG23" s="1537"/>
      <c r="IH23" s="1537"/>
      <c r="II23" s="1537"/>
      <c r="IJ23" s="1537"/>
      <c r="IK23" s="1537"/>
      <c r="IL23" s="1537"/>
      <c r="IM23" s="1537"/>
      <c r="IN23" s="1537"/>
      <c r="IO23" s="1537"/>
      <c r="IP23" s="1537"/>
      <c r="IQ23" s="1537"/>
      <c r="IR23" s="1537"/>
      <c r="IS23" s="1537"/>
      <c r="IT23" s="1537"/>
      <c r="IU23" s="1537"/>
      <c r="IV23" s="1537"/>
    </row>
    <row r="24" spans="1:256">
      <c r="A24" s="1541">
        <f t="shared" si="2"/>
        <v>11</v>
      </c>
      <c r="B24" s="1538" t="s">
        <v>48</v>
      </c>
      <c r="C24" s="629">
        <f t="shared" si="3"/>
        <v>0</v>
      </c>
      <c r="D24" s="629">
        <f t="shared" si="5"/>
        <v>0</v>
      </c>
      <c r="E24" s="1538">
        <v>30</v>
      </c>
      <c r="F24" s="446">
        <v>185</v>
      </c>
      <c r="G24" s="1549">
        <f t="shared" si="0"/>
        <v>0.50684931506849318</v>
      </c>
      <c r="H24" s="629">
        <f t="shared" si="1"/>
        <v>0</v>
      </c>
      <c r="I24" s="629">
        <f>I23+H24</f>
        <v>0</v>
      </c>
      <c r="J24" s="1537"/>
      <c r="K24" s="1537"/>
      <c r="L24" s="1537"/>
      <c r="M24" s="1537"/>
      <c r="N24" s="1537"/>
      <c r="O24" s="1537"/>
      <c r="P24" s="1537"/>
      <c r="Q24" s="1537"/>
      <c r="R24" s="1537"/>
      <c r="S24" s="1537"/>
      <c r="T24" s="1537"/>
      <c r="U24" s="1537"/>
      <c r="V24" s="1537"/>
      <c r="W24" s="1537"/>
      <c r="X24" s="1537"/>
      <c r="Y24" s="1537"/>
      <c r="Z24" s="1537"/>
      <c r="AA24" s="1537"/>
      <c r="AB24" s="1537"/>
      <c r="AC24" s="1537"/>
      <c r="AD24" s="1537"/>
      <c r="AE24" s="1537"/>
      <c r="AF24" s="1537"/>
      <c r="AG24" s="1537"/>
      <c r="AH24" s="1537"/>
      <c r="AI24" s="1537"/>
      <c r="AJ24" s="1537"/>
      <c r="AK24" s="1537"/>
      <c r="AL24" s="1537"/>
      <c r="AM24" s="1537"/>
      <c r="AN24" s="1537"/>
      <c r="AO24" s="1537"/>
      <c r="AP24" s="1537"/>
      <c r="AQ24" s="1537"/>
      <c r="AR24" s="1537"/>
      <c r="AS24" s="1537"/>
      <c r="AT24" s="1537"/>
      <c r="AU24" s="1537"/>
      <c r="AV24" s="1537"/>
      <c r="AW24" s="1537"/>
      <c r="AX24" s="1537"/>
      <c r="AY24" s="1537"/>
      <c r="AZ24" s="1537"/>
      <c r="BA24" s="1537"/>
      <c r="BB24" s="1537"/>
      <c r="BC24" s="1537"/>
      <c r="BD24" s="1537"/>
      <c r="BE24" s="1537"/>
      <c r="BF24" s="1537"/>
      <c r="BG24" s="1537"/>
      <c r="BH24" s="1537"/>
      <c r="BI24" s="1537"/>
      <c r="BJ24" s="1537"/>
      <c r="BK24" s="1537"/>
      <c r="BL24" s="1537"/>
      <c r="BM24" s="1537"/>
      <c r="BN24" s="1537"/>
      <c r="BO24" s="1537"/>
      <c r="BP24" s="1537"/>
      <c r="BQ24" s="1537"/>
      <c r="BR24" s="1537"/>
      <c r="BS24" s="1537"/>
      <c r="BT24" s="1537"/>
      <c r="BU24" s="1537"/>
      <c r="BV24" s="1537"/>
      <c r="BW24" s="1537"/>
      <c r="BX24" s="1537"/>
      <c r="BY24" s="1537"/>
      <c r="BZ24" s="1537"/>
      <c r="CA24" s="1537"/>
      <c r="CB24" s="1537"/>
      <c r="CC24" s="1537"/>
      <c r="CD24" s="1537"/>
      <c r="CE24" s="1537"/>
      <c r="CF24" s="1537"/>
      <c r="CG24" s="1537"/>
      <c r="CH24" s="1537"/>
      <c r="CI24" s="1537"/>
      <c r="CJ24" s="1537"/>
      <c r="CK24" s="1537"/>
      <c r="CL24" s="1537"/>
      <c r="CM24" s="1537"/>
      <c r="CN24" s="1537"/>
      <c r="CO24" s="1537"/>
      <c r="CP24" s="1537"/>
      <c r="CQ24" s="1537"/>
      <c r="CR24" s="1537"/>
      <c r="CS24" s="1537"/>
      <c r="CT24" s="1537"/>
      <c r="CU24" s="1537"/>
      <c r="CV24" s="1537"/>
      <c r="CW24" s="1537"/>
      <c r="CX24" s="1537"/>
      <c r="CY24" s="1537"/>
      <c r="CZ24" s="1537"/>
      <c r="DA24" s="1537"/>
      <c r="DB24" s="1537"/>
      <c r="DC24" s="1537"/>
      <c r="DD24" s="1537"/>
      <c r="DE24" s="1537"/>
      <c r="DF24" s="1537"/>
      <c r="DG24" s="1537"/>
      <c r="DH24" s="1537"/>
      <c r="DI24" s="1537"/>
      <c r="DJ24" s="1537"/>
      <c r="DK24" s="1537"/>
      <c r="DL24" s="1537"/>
      <c r="DM24" s="1537"/>
      <c r="DN24" s="1537"/>
      <c r="DO24" s="1537"/>
      <c r="DP24" s="1537"/>
      <c r="DQ24" s="1537"/>
      <c r="DR24" s="1537"/>
      <c r="DS24" s="1537"/>
      <c r="DT24" s="1537"/>
      <c r="DU24" s="1537"/>
      <c r="DV24" s="1537"/>
      <c r="DW24" s="1537"/>
      <c r="DX24" s="1537"/>
      <c r="DY24" s="1537"/>
      <c r="DZ24" s="1537"/>
      <c r="EA24" s="1537"/>
      <c r="EB24" s="1537"/>
      <c r="EC24" s="1537"/>
      <c r="ED24" s="1537"/>
      <c r="EE24" s="1537"/>
      <c r="EF24" s="1537"/>
      <c r="EG24" s="1537"/>
      <c r="EH24" s="1537"/>
      <c r="EI24" s="1537"/>
      <c r="EJ24" s="1537"/>
      <c r="EK24" s="1537"/>
      <c r="EL24" s="1537"/>
      <c r="EM24" s="1537"/>
      <c r="EN24" s="1537"/>
      <c r="EO24" s="1537"/>
      <c r="EP24" s="1537"/>
      <c r="EQ24" s="1537"/>
      <c r="ER24" s="1537"/>
      <c r="ES24" s="1537"/>
      <c r="ET24" s="1537"/>
      <c r="EU24" s="1537"/>
      <c r="EV24" s="1537"/>
      <c r="EW24" s="1537"/>
      <c r="EX24" s="1537"/>
      <c r="EY24" s="1537"/>
      <c r="EZ24" s="1537"/>
      <c r="FA24" s="1537"/>
      <c r="FB24" s="1537"/>
      <c r="FC24" s="1537"/>
      <c r="FD24" s="1537"/>
      <c r="FE24" s="1537"/>
      <c r="FF24" s="1537"/>
      <c r="FG24" s="1537"/>
      <c r="FH24" s="1537"/>
      <c r="FI24" s="1537"/>
      <c r="FJ24" s="1537"/>
      <c r="FK24" s="1537"/>
      <c r="FL24" s="1537"/>
      <c r="FM24" s="1537"/>
      <c r="FN24" s="1537"/>
      <c r="FO24" s="1537"/>
      <c r="FP24" s="1537"/>
      <c r="FQ24" s="1537"/>
      <c r="FR24" s="1537"/>
      <c r="FS24" s="1537"/>
      <c r="FT24" s="1537"/>
      <c r="FU24" s="1537"/>
      <c r="FV24" s="1537"/>
      <c r="FW24" s="1537"/>
      <c r="FX24" s="1537"/>
      <c r="FY24" s="1537"/>
      <c r="FZ24" s="1537"/>
      <c r="GA24" s="1537"/>
      <c r="GB24" s="1537"/>
      <c r="GC24" s="1537"/>
      <c r="GD24" s="1537"/>
      <c r="GE24" s="1537"/>
      <c r="GF24" s="1537"/>
      <c r="GG24" s="1537"/>
      <c r="GH24" s="1537"/>
      <c r="GI24" s="1537"/>
      <c r="GJ24" s="1537"/>
      <c r="GK24" s="1537"/>
      <c r="GL24" s="1537"/>
      <c r="GM24" s="1537"/>
      <c r="GN24" s="1537"/>
      <c r="GO24" s="1537"/>
      <c r="GP24" s="1537"/>
      <c r="GQ24" s="1537"/>
      <c r="GR24" s="1537"/>
      <c r="GS24" s="1537"/>
      <c r="GT24" s="1537"/>
      <c r="GU24" s="1537"/>
      <c r="GV24" s="1537"/>
      <c r="GW24" s="1537"/>
      <c r="GX24" s="1537"/>
      <c r="GY24" s="1537"/>
      <c r="GZ24" s="1537"/>
      <c r="HA24" s="1537"/>
      <c r="HB24" s="1537"/>
      <c r="HC24" s="1537"/>
      <c r="HD24" s="1537"/>
      <c r="HE24" s="1537"/>
      <c r="HF24" s="1537"/>
      <c r="HG24" s="1537"/>
      <c r="HH24" s="1537"/>
      <c r="HI24" s="1537"/>
      <c r="HJ24" s="1537"/>
      <c r="HK24" s="1537"/>
      <c r="HL24" s="1537"/>
      <c r="HM24" s="1537"/>
      <c r="HN24" s="1537"/>
      <c r="HO24" s="1537"/>
      <c r="HP24" s="1537"/>
      <c r="HQ24" s="1537"/>
      <c r="HR24" s="1537"/>
      <c r="HS24" s="1537"/>
      <c r="HT24" s="1537"/>
      <c r="HU24" s="1537"/>
      <c r="HV24" s="1537"/>
      <c r="HW24" s="1537"/>
      <c r="HX24" s="1537"/>
      <c r="HY24" s="1537"/>
      <c r="HZ24" s="1537"/>
      <c r="IA24" s="1537"/>
      <c r="IB24" s="1537"/>
      <c r="IC24" s="1537"/>
      <c r="ID24" s="1537"/>
      <c r="IE24" s="1537"/>
      <c r="IF24" s="1537"/>
      <c r="IG24" s="1537"/>
      <c r="IH24" s="1537"/>
      <c r="II24" s="1537"/>
      <c r="IJ24" s="1537"/>
      <c r="IK24" s="1537"/>
      <c r="IL24" s="1537"/>
      <c r="IM24" s="1537"/>
      <c r="IN24" s="1537"/>
      <c r="IO24" s="1537"/>
      <c r="IP24" s="1537"/>
      <c r="IQ24" s="1537"/>
      <c r="IR24" s="1537"/>
      <c r="IS24" s="1537"/>
      <c r="IT24" s="1537"/>
      <c r="IU24" s="1537"/>
      <c r="IV24" s="1537"/>
    </row>
    <row r="25" spans="1:256">
      <c r="A25" s="1541">
        <f t="shared" si="2"/>
        <v>12</v>
      </c>
      <c r="B25" s="1538" t="s">
        <v>325</v>
      </c>
      <c r="C25" s="629">
        <f t="shared" si="3"/>
        <v>0</v>
      </c>
      <c r="D25" s="629">
        <f t="shared" si="5"/>
        <v>0</v>
      </c>
      <c r="E25" s="1538">
        <v>31</v>
      </c>
      <c r="F25" s="446">
        <v>154</v>
      </c>
      <c r="G25" s="1549">
        <f t="shared" si="0"/>
        <v>0.42191780821917807</v>
      </c>
      <c r="H25" s="629">
        <f t="shared" si="1"/>
        <v>0</v>
      </c>
      <c r="I25" s="629">
        <f t="shared" si="4"/>
        <v>0</v>
      </c>
      <c r="J25" s="1537"/>
      <c r="K25" s="1537"/>
      <c r="L25" s="1537"/>
      <c r="M25" s="1537"/>
      <c r="N25" s="1537"/>
      <c r="O25" s="1537"/>
      <c r="P25" s="1537"/>
      <c r="Q25" s="1537"/>
      <c r="R25" s="1537"/>
      <c r="S25" s="1537"/>
      <c r="T25" s="1537"/>
      <c r="U25" s="1537"/>
      <c r="V25" s="1537"/>
      <c r="W25" s="1537"/>
      <c r="X25" s="1537"/>
      <c r="Y25" s="1537"/>
      <c r="Z25" s="1537"/>
      <c r="AA25" s="1537"/>
      <c r="AB25" s="1537"/>
      <c r="AC25" s="1537"/>
      <c r="AD25" s="1537"/>
      <c r="AE25" s="1537"/>
      <c r="AF25" s="1537"/>
      <c r="AG25" s="1537"/>
      <c r="AH25" s="1537"/>
      <c r="AI25" s="1537"/>
      <c r="AJ25" s="1537"/>
      <c r="AK25" s="1537"/>
      <c r="AL25" s="1537"/>
      <c r="AM25" s="1537"/>
      <c r="AN25" s="1537"/>
      <c r="AO25" s="1537"/>
      <c r="AP25" s="1537"/>
      <c r="AQ25" s="1537"/>
      <c r="AR25" s="1537"/>
      <c r="AS25" s="1537"/>
      <c r="AT25" s="1537"/>
      <c r="AU25" s="1537"/>
      <c r="AV25" s="1537"/>
      <c r="AW25" s="1537"/>
      <c r="AX25" s="1537"/>
      <c r="AY25" s="1537"/>
      <c r="AZ25" s="1537"/>
      <c r="BA25" s="1537"/>
      <c r="BB25" s="1537"/>
      <c r="BC25" s="1537"/>
      <c r="BD25" s="1537"/>
      <c r="BE25" s="1537"/>
      <c r="BF25" s="1537"/>
      <c r="BG25" s="1537"/>
      <c r="BH25" s="1537"/>
      <c r="BI25" s="1537"/>
      <c r="BJ25" s="1537"/>
      <c r="BK25" s="1537"/>
      <c r="BL25" s="1537"/>
      <c r="BM25" s="1537"/>
      <c r="BN25" s="1537"/>
      <c r="BO25" s="1537"/>
      <c r="BP25" s="1537"/>
      <c r="BQ25" s="1537"/>
      <c r="BR25" s="1537"/>
      <c r="BS25" s="1537"/>
      <c r="BT25" s="1537"/>
      <c r="BU25" s="1537"/>
      <c r="BV25" s="1537"/>
      <c r="BW25" s="1537"/>
      <c r="BX25" s="1537"/>
      <c r="BY25" s="1537"/>
      <c r="BZ25" s="1537"/>
      <c r="CA25" s="1537"/>
      <c r="CB25" s="1537"/>
      <c r="CC25" s="1537"/>
      <c r="CD25" s="1537"/>
      <c r="CE25" s="1537"/>
      <c r="CF25" s="1537"/>
      <c r="CG25" s="1537"/>
      <c r="CH25" s="1537"/>
      <c r="CI25" s="1537"/>
      <c r="CJ25" s="1537"/>
      <c r="CK25" s="1537"/>
      <c r="CL25" s="1537"/>
      <c r="CM25" s="1537"/>
      <c r="CN25" s="1537"/>
      <c r="CO25" s="1537"/>
      <c r="CP25" s="1537"/>
      <c r="CQ25" s="1537"/>
      <c r="CR25" s="1537"/>
      <c r="CS25" s="1537"/>
      <c r="CT25" s="1537"/>
      <c r="CU25" s="1537"/>
      <c r="CV25" s="1537"/>
      <c r="CW25" s="1537"/>
      <c r="CX25" s="1537"/>
      <c r="CY25" s="1537"/>
      <c r="CZ25" s="1537"/>
      <c r="DA25" s="1537"/>
      <c r="DB25" s="1537"/>
      <c r="DC25" s="1537"/>
      <c r="DD25" s="1537"/>
      <c r="DE25" s="1537"/>
      <c r="DF25" s="1537"/>
      <c r="DG25" s="1537"/>
      <c r="DH25" s="1537"/>
      <c r="DI25" s="1537"/>
      <c r="DJ25" s="1537"/>
      <c r="DK25" s="1537"/>
      <c r="DL25" s="1537"/>
      <c r="DM25" s="1537"/>
      <c r="DN25" s="1537"/>
      <c r="DO25" s="1537"/>
      <c r="DP25" s="1537"/>
      <c r="DQ25" s="1537"/>
      <c r="DR25" s="1537"/>
      <c r="DS25" s="1537"/>
      <c r="DT25" s="1537"/>
      <c r="DU25" s="1537"/>
      <c r="DV25" s="1537"/>
      <c r="DW25" s="1537"/>
      <c r="DX25" s="1537"/>
      <c r="DY25" s="1537"/>
      <c r="DZ25" s="1537"/>
      <c r="EA25" s="1537"/>
      <c r="EB25" s="1537"/>
      <c r="EC25" s="1537"/>
      <c r="ED25" s="1537"/>
      <c r="EE25" s="1537"/>
      <c r="EF25" s="1537"/>
      <c r="EG25" s="1537"/>
      <c r="EH25" s="1537"/>
      <c r="EI25" s="1537"/>
      <c r="EJ25" s="1537"/>
      <c r="EK25" s="1537"/>
      <c r="EL25" s="1537"/>
      <c r="EM25" s="1537"/>
      <c r="EN25" s="1537"/>
      <c r="EO25" s="1537"/>
      <c r="EP25" s="1537"/>
      <c r="EQ25" s="1537"/>
      <c r="ER25" s="1537"/>
      <c r="ES25" s="1537"/>
      <c r="ET25" s="1537"/>
      <c r="EU25" s="1537"/>
      <c r="EV25" s="1537"/>
      <c r="EW25" s="1537"/>
      <c r="EX25" s="1537"/>
      <c r="EY25" s="1537"/>
      <c r="EZ25" s="1537"/>
      <c r="FA25" s="1537"/>
      <c r="FB25" s="1537"/>
      <c r="FC25" s="1537"/>
      <c r="FD25" s="1537"/>
      <c r="FE25" s="1537"/>
      <c r="FF25" s="1537"/>
      <c r="FG25" s="1537"/>
      <c r="FH25" s="1537"/>
      <c r="FI25" s="1537"/>
      <c r="FJ25" s="1537"/>
      <c r="FK25" s="1537"/>
      <c r="FL25" s="1537"/>
      <c r="FM25" s="1537"/>
      <c r="FN25" s="1537"/>
      <c r="FO25" s="1537"/>
      <c r="FP25" s="1537"/>
      <c r="FQ25" s="1537"/>
      <c r="FR25" s="1537"/>
      <c r="FS25" s="1537"/>
      <c r="FT25" s="1537"/>
      <c r="FU25" s="1537"/>
      <c r="FV25" s="1537"/>
      <c r="FW25" s="1537"/>
      <c r="FX25" s="1537"/>
      <c r="FY25" s="1537"/>
      <c r="FZ25" s="1537"/>
      <c r="GA25" s="1537"/>
      <c r="GB25" s="1537"/>
      <c r="GC25" s="1537"/>
      <c r="GD25" s="1537"/>
      <c r="GE25" s="1537"/>
      <c r="GF25" s="1537"/>
      <c r="GG25" s="1537"/>
      <c r="GH25" s="1537"/>
      <c r="GI25" s="1537"/>
      <c r="GJ25" s="1537"/>
      <c r="GK25" s="1537"/>
      <c r="GL25" s="1537"/>
      <c r="GM25" s="1537"/>
      <c r="GN25" s="1537"/>
      <c r="GO25" s="1537"/>
      <c r="GP25" s="1537"/>
      <c r="GQ25" s="1537"/>
      <c r="GR25" s="1537"/>
      <c r="GS25" s="1537"/>
      <c r="GT25" s="1537"/>
      <c r="GU25" s="1537"/>
      <c r="GV25" s="1537"/>
      <c r="GW25" s="1537"/>
      <c r="GX25" s="1537"/>
      <c r="GY25" s="1537"/>
      <c r="GZ25" s="1537"/>
      <c r="HA25" s="1537"/>
      <c r="HB25" s="1537"/>
      <c r="HC25" s="1537"/>
      <c r="HD25" s="1537"/>
      <c r="HE25" s="1537"/>
      <c r="HF25" s="1537"/>
      <c r="HG25" s="1537"/>
      <c r="HH25" s="1537"/>
      <c r="HI25" s="1537"/>
      <c r="HJ25" s="1537"/>
      <c r="HK25" s="1537"/>
      <c r="HL25" s="1537"/>
      <c r="HM25" s="1537"/>
      <c r="HN25" s="1537"/>
      <c r="HO25" s="1537"/>
      <c r="HP25" s="1537"/>
      <c r="HQ25" s="1537"/>
      <c r="HR25" s="1537"/>
      <c r="HS25" s="1537"/>
      <c r="HT25" s="1537"/>
      <c r="HU25" s="1537"/>
      <c r="HV25" s="1537"/>
      <c r="HW25" s="1537"/>
      <c r="HX25" s="1537"/>
      <c r="HY25" s="1537"/>
      <c r="HZ25" s="1537"/>
      <c r="IA25" s="1537"/>
      <c r="IB25" s="1537"/>
      <c r="IC25" s="1537"/>
      <c r="ID25" s="1537"/>
      <c r="IE25" s="1537"/>
      <c r="IF25" s="1537"/>
      <c r="IG25" s="1537"/>
      <c r="IH25" s="1537"/>
      <c r="II25" s="1537"/>
      <c r="IJ25" s="1537"/>
      <c r="IK25" s="1537"/>
      <c r="IL25" s="1537"/>
      <c r="IM25" s="1537"/>
      <c r="IN25" s="1537"/>
      <c r="IO25" s="1537"/>
      <c r="IP25" s="1537"/>
      <c r="IQ25" s="1537"/>
      <c r="IR25" s="1537"/>
      <c r="IS25" s="1537"/>
      <c r="IT25" s="1537"/>
      <c r="IU25" s="1537"/>
      <c r="IV25" s="1537"/>
    </row>
    <row r="26" spans="1:256">
      <c r="A26" s="1541">
        <f t="shared" si="2"/>
        <v>13</v>
      </c>
      <c r="B26" s="1538" t="s">
        <v>326</v>
      </c>
      <c r="C26" s="629">
        <f t="shared" si="3"/>
        <v>0</v>
      </c>
      <c r="D26" s="629">
        <f t="shared" si="5"/>
        <v>0</v>
      </c>
      <c r="E26" s="1538">
        <v>31</v>
      </c>
      <c r="F26" s="446">
        <v>123</v>
      </c>
      <c r="G26" s="1549">
        <f t="shared" si="0"/>
        <v>0.33698630136986302</v>
      </c>
      <c r="H26" s="629">
        <f t="shared" si="1"/>
        <v>0</v>
      </c>
      <c r="I26" s="629">
        <f t="shared" si="4"/>
        <v>0</v>
      </c>
      <c r="J26" s="1537"/>
      <c r="K26" s="1537"/>
      <c r="L26" s="1537"/>
      <c r="M26" s="1537"/>
      <c r="N26" s="1537"/>
      <c r="O26" s="1537"/>
      <c r="P26" s="1537"/>
      <c r="Q26" s="1537"/>
      <c r="R26" s="1537"/>
      <c r="S26" s="1537"/>
      <c r="T26" s="1537"/>
      <c r="U26" s="1537"/>
      <c r="V26" s="1537"/>
      <c r="W26" s="1537"/>
      <c r="X26" s="1537"/>
      <c r="Y26" s="1537"/>
      <c r="Z26" s="1537"/>
      <c r="AA26" s="1537"/>
      <c r="AB26" s="1537"/>
      <c r="AC26" s="1537"/>
      <c r="AD26" s="1537"/>
      <c r="AE26" s="1537"/>
      <c r="AF26" s="1537"/>
      <c r="AG26" s="1537"/>
      <c r="AH26" s="1537"/>
      <c r="AI26" s="1537"/>
      <c r="AJ26" s="1537"/>
      <c r="AK26" s="1537"/>
      <c r="AL26" s="1537"/>
      <c r="AM26" s="1537"/>
      <c r="AN26" s="1537"/>
      <c r="AO26" s="1537"/>
      <c r="AP26" s="1537"/>
      <c r="AQ26" s="1537"/>
      <c r="AR26" s="1537"/>
      <c r="AS26" s="1537"/>
      <c r="AT26" s="1537"/>
      <c r="AU26" s="1537"/>
      <c r="AV26" s="1537"/>
      <c r="AW26" s="1537"/>
      <c r="AX26" s="1537"/>
      <c r="AY26" s="1537"/>
      <c r="AZ26" s="1537"/>
      <c r="BA26" s="1537"/>
      <c r="BB26" s="1537"/>
      <c r="BC26" s="1537"/>
      <c r="BD26" s="1537"/>
      <c r="BE26" s="1537"/>
      <c r="BF26" s="1537"/>
      <c r="BG26" s="1537"/>
      <c r="BH26" s="1537"/>
      <c r="BI26" s="1537"/>
      <c r="BJ26" s="1537"/>
      <c r="BK26" s="1537"/>
      <c r="BL26" s="1537"/>
      <c r="BM26" s="1537"/>
      <c r="BN26" s="1537"/>
      <c r="BO26" s="1537"/>
      <c r="BP26" s="1537"/>
      <c r="BQ26" s="1537"/>
      <c r="BR26" s="1537"/>
      <c r="BS26" s="1537"/>
      <c r="BT26" s="1537"/>
      <c r="BU26" s="1537"/>
      <c r="BV26" s="1537"/>
      <c r="BW26" s="1537"/>
      <c r="BX26" s="1537"/>
      <c r="BY26" s="1537"/>
      <c r="BZ26" s="1537"/>
      <c r="CA26" s="1537"/>
      <c r="CB26" s="1537"/>
      <c r="CC26" s="1537"/>
      <c r="CD26" s="1537"/>
      <c r="CE26" s="1537"/>
      <c r="CF26" s="1537"/>
      <c r="CG26" s="1537"/>
      <c r="CH26" s="1537"/>
      <c r="CI26" s="1537"/>
      <c r="CJ26" s="1537"/>
      <c r="CK26" s="1537"/>
      <c r="CL26" s="1537"/>
      <c r="CM26" s="1537"/>
      <c r="CN26" s="1537"/>
      <c r="CO26" s="1537"/>
      <c r="CP26" s="1537"/>
      <c r="CQ26" s="1537"/>
      <c r="CR26" s="1537"/>
      <c r="CS26" s="1537"/>
      <c r="CT26" s="1537"/>
      <c r="CU26" s="1537"/>
      <c r="CV26" s="1537"/>
      <c r="CW26" s="1537"/>
      <c r="CX26" s="1537"/>
      <c r="CY26" s="1537"/>
      <c r="CZ26" s="1537"/>
      <c r="DA26" s="1537"/>
      <c r="DB26" s="1537"/>
      <c r="DC26" s="1537"/>
      <c r="DD26" s="1537"/>
      <c r="DE26" s="1537"/>
      <c r="DF26" s="1537"/>
      <c r="DG26" s="1537"/>
      <c r="DH26" s="1537"/>
      <c r="DI26" s="1537"/>
      <c r="DJ26" s="1537"/>
      <c r="DK26" s="1537"/>
      <c r="DL26" s="1537"/>
      <c r="DM26" s="1537"/>
      <c r="DN26" s="1537"/>
      <c r="DO26" s="1537"/>
      <c r="DP26" s="1537"/>
      <c r="DQ26" s="1537"/>
      <c r="DR26" s="1537"/>
      <c r="DS26" s="1537"/>
      <c r="DT26" s="1537"/>
      <c r="DU26" s="1537"/>
      <c r="DV26" s="1537"/>
      <c r="DW26" s="1537"/>
      <c r="DX26" s="1537"/>
      <c r="DY26" s="1537"/>
      <c r="DZ26" s="1537"/>
      <c r="EA26" s="1537"/>
      <c r="EB26" s="1537"/>
      <c r="EC26" s="1537"/>
      <c r="ED26" s="1537"/>
      <c r="EE26" s="1537"/>
      <c r="EF26" s="1537"/>
      <c r="EG26" s="1537"/>
      <c r="EH26" s="1537"/>
      <c r="EI26" s="1537"/>
      <c r="EJ26" s="1537"/>
      <c r="EK26" s="1537"/>
      <c r="EL26" s="1537"/>
      <c r="EM26" s="1537"/>
      <c r="EN26" s="1537"/>
      <c r="EO26" s="1537"/>
      <c r="EP26" s="1537"/>
      <c r="EQ26" s="1537"/>
      <c r="ER26" s="1537"/>
      <c r="ES26" s="1537"/>
      <c r="ET26" s="1537"/>
      <c r="EU26" s="1537"/>
      <c r="EV26" s="1537"/>
      <c r="EW26" s="1537"/>
      <c r="EX26" s="1537"/>
      <c r="EY26" s="1537"/>
      <c r="EZ26" s="1537"/>
      <c r="FA26" s="1537"/>
      <c r="FB26" s="1537"/>
      <c r="FC26" s="1537"/>
      <c r="FD26" s="1537"/>
      <c r="FE26" s="1537"/>
      <c r="FF26" s="1537"/>
      <c r="FG26" s="1537"/>
      <c r="FH26" s="1537"/>
      <c r="FI26" s="1537"/>
      <c r="FJ26" s="1537"/>
      <c r="FK26" s="1537"/>
      <c r="FL26" s="1537"/>
      <c r="FM26" s="1537"/>
      <c r="FN26" s="1537"/>
      <c r="FO26" s="1537"/>
      <c r="FP26" s="1537"/>
      <c r="FQ26" s="1537"/>
      <c r="FR26" s="1537"/>
      <c r="FS26" s="1537"/>
      <c r="FT26" s="1537"/>
      <c r="FU26" s="1537"/>
      <c r="FV26" s="1537"/>
      <c r="FW26" s="1537"/>
      <c r="FX26" s="1537"/>
      <c r="FY26" s="1537"/>
      <c r="FZ26" s="1537"/>
      <c r="GA26" s="1537"/>
      <c r="GB26" s="1537"/>
      <c r="GC26" s="1537"/>
      <c r="GD26" s="1537"/>
      <c r="GE26" s="1537"/>
      <c r="GF26" s="1537"/>
      <c r="GG26" s="1537"/>
      <c r="GH26" s="1537"/>
      <c r="GI26" s="1537"/>
      <c r="GJ26" s="1537"/>
      <c r="GK26" s="1537"/>
      <c r="GL26" s="1537"/>
      <c r="GM26" s="1537"/>
      <c r="GN26" s="1537"/>
      <c r="GO26" s="1537"/>
      <c r="GP26" s="1537"/>
      <c r="GQ26" s="1537"/>
      <c r="GR26" s="1537"/>
      <c r="GS26" s="1537"/>
      <c r="GT26" s="1537"/>
      <c r="GU26" s="1537"/>
      <c r="GV26" s="1537"/>
      <c r="GW26" s="1537"/>
      <c r="GX26" s="1537"/>
      <c r="GY26" s="1537"/>
      <c r="GZ26" s="1537"/>
      <c r="HA26" s="1537"/>
      <c r="HB26" s="1537"/>
      <c r="HC26" s="1537"/>
      <c r="HD26" s="1537"/>
      <c r="HE26" s="1537"/>
      <c r="HF26" s="1537"/>
      <c r="HG26" s="1537"/>
      <c r="HH26" s="1537"/>
      <c r="HI26" s="1537"/>
      <c r="HJ26" s="1537"/>
      <c r="HK26" s="1537"/>
      <c r="HL26" s="1537"/>
      <c r="HM26" s="1537"/>
      <c r="HN26" s="1537"/>
      <c r="HO26" s="1537"/>
      <c r="HP26" s="1537"/>
      <c r="HQ26" s="1537"/>
      <c r="HR26" s="1537"/>
      <c r="HS26" s="1537"/>
      <c r="HT26" s="1537"/>
      <c r="HU26" s="1537"/>
      <c r="HV26" s="1537"/>
      <c r="HW26" s="1537"/>
      <c r="HX26" s="1537"/>
      <c r="HY26" s="1537"/>
      <c r="HZ26" s="1537"/>
      <c r="IA26" s="1537"/>
      <c r="IB26" s="1537"/>
      <c r="IC26" s="1537"/>
      <c r="ID26" s="1537"/>
      <c r="IE26" s="1537"/>
      <c r="IF26" s="1537"/>
      <c r="IG26" s="1537"/>
      <c r="IH26" s="1537"/>
      <c r="II26" s="1537"/>
      <c r="IJ26" s="1537"/>
      <c r="IK26" s="1537"/>
      <c r="IL26" s="1537"/>
      <c r="IM26" s="1537"/>
      <c r="IN26" s="1537"/>
      <c r="IO26" s="1537"/>
      <c r="IP26" s="1537"/>
      <c r="IQ26" s="1537"/>
      <c r="IR26" s="1537"/>
      <c r="IS26" s="1537"/>
      <c r="IT26" s="1537"/>
      <c r="IU26" s="1537"/>
      <c r="IV26" s="1537"/>
    </row>
    <row r="27" spans="1:256">
      <c r="A27" s="1541">
        <f t="shared" si="2"/>
        <v>14</v>
      </c>
      <c r="B27" s="1538" t="s">
        <v>328</v>
      </c>
      <c r="C27" s="629">
        <f t="shared" si="3"/>
        <v>0</v>
      </c>
      <c r="D27" s="629">
        <f t="shared" si="5"/>
        <v>0</v>
      </c>
      <c r="E27" s="1538">
        <v>30</v>
      </c>
      <c r="F27" s="446">
        <v>93</v>
      </c>
      <c r="G27" s="1549">
        <f t="shared" si="0"/>
        <v>0.25479452054794521</v>
      </c>
      <c r="H27" s="629">
        <f t="shared" si="1"/>
        <v>0</v>
      </c>
      <c r="I27" s="629">
        <f t="shared" si="4"/>
        <v>0</v>
      </c>
      <c r="J27" s="1537"/>
      <c r="K27" s="1537"/>
      <c r="L27" s="1537"/>
      <c r="M27" s="1537"/>
      <c r="N27" s="1537"/>
      <c r="O27" s="1537"/>
      <c r="P27" s="1537"/>
      <c r="Q27" s="1537"/>
      <c r="R27" s="1537"/>
      <c r="S27" s="1537"/>
      <c r="T27" s="1537"/>
      <c r="U27" s="1537"/>
      <c r="V27" s="1537"/>
      <c r="W27" s="1537"/>
      <c r="X27" s="1537"/>
      <c r="Y27" s="1537"/>
      <c r="Z27" s="1537"/>
      <c r="AA27" s="1537"/>
      <c r="AB27" s="1537"/>
      <c r="AC27" s="1537"/>
      <c r="AD27" s="1537"/>
      <c r="AE27" s="1537"/>
      <c r="AF27" s="1537"/>
      <c r="AG27" s="1537"/>
      <c r="AH27" s="1537"/>
      <c r="AI27" s="1537"/>
      <c r="AJ27" s="1537"/>
      <c r="AK27" s="1537"/>
      <c r="AL27" s="1537"/>
      <c r="AM27" s="1537"/>
      <c r="AN27" s="1537"/>
      <c r="AO27" s="1537"/>
      <c r="AP27" s="1537"/>
      <c r="AQ27" s="1537"/>
      <c r="AR27" s="1537"/>
      <c r="AS27" s="1537"/>
      <c r="AT27" s="1537"/>
      <c r="AU27" s="1537"/>
      <c r="AV27" s="1537"/>
      <c r="AW27" s="1537"/>
      <c r="AX27" s="1537"/>
      <c r="AY27" s="1537"/>
      <c r="AZ27" s="1537"/>
      <c r="BA27" s="1537"/>
      <c r="BB27" s="1537"/>
      <c r="BC27" s="1537"/>
      <c r="BD27" s="1537"/>
      <c r="BE27" s="1537"/>
      <c r="BF27" s="1537"/>
      <c r="BG27" s="1537"/>
      <c r="BH27" s="1537"/>
      <c r="BI27" s="1537"/>
      <c r="BJ27" s="1537"/>
      <c r="BK27" s="1537"/>
      <c r="BL27" s="1537"/>
      <c r="BM27" s="1537"/>
      <c r="BN27" s="1537"/>
      <c r="BO27" s="1537"/>
      <c r="BP27" s="1537"/>
      <c r="BQ27" s="1537"/>
      <c r="BR27" s="1537"/>
      <c r="BS27" s="1537"/>
      <c r="BT27" s="1537"/>
      <c r="BU27" s="1537"/>
      <c r="BV27" s="1537"/>
      <c r="BW27" s="1537"/>
      <c r="BX27" s="1537"/>
      <c r="BY27" s="1537"/>
      <c r="BZ27" s="1537"/>
      <c r="CA27" s="1537"/>
      <c r="CB27" s="1537"/>
      <c r="CC27" s="1537"/>
      <c r="CD27" s="1537"/>
      <c r="CE27" s="1537"/>
      <c r="CF27" s="1537"/>
      <c r="CG27" s="1537"/>
      <c r="CH27" s="1537"/>
      <c r="CI27" s="1537"/>
      <c r="CJ27" s="1537"/>
      <c r="CK27" s="1537"/>
      <c r="CL27" s="1537"/>
      <c r="CM27" s="1537"/>
      <c r="CN27" s="1537"/>
      <c r="CO27" s="1537"/>
      <c r="CP27" s="1537"/>
      <c r="CQ27" s="1537"/>
      <c r="CR27" s="1537"/>
      <c r="CS27" s="1537"/>
      <c r="CT27" s="1537"/>
      <c r="CU27" s="1537"/>
      <c r="CV27" s="1537"/>
      <c r="CW27" s="1537"/>
      <c r="CX27" s="1537"/>
      <c r="CY27" s="1537"/>
      <c r="CZ27" s="1537"/>
      <c r="DA27" s="1537"/>
      <c r="DB27" s="1537"/>
      <c r="DC27" s="1537"/>
      <c r="DD27" s="1537"/>
      <c r="DE27" s="1537"/>
      <c r="DF27" s="1537"/>
      <c r="DG27" s="1537"/>
      <c r="DH27" s="1537"/>
      <c r="DI27" s="1537"/>
      <c r="DJ27" s="1537"/>
      <c r="DK27" s="1537"/>
      <c r="DL27" s="1537"/>
      <c r="DM27" s="1537"/>
      <c r="DN27" s="1537"/>
      <c r="DO27" s="1537"/>
      <c r="DP27" s="1537"/>
      <c r="DQ27" s="1537"/>
      <c r="DR27" s="1537"/>
      <c r="DS27" s="1537"/>
      <c r="DT27" s="1537"/>
      <c r="DU27" s="1537"/>
      <c r="DV27" s="1537"/>
      <c r="DW27" s="1537"/>
      <c r="DX27" s="1537"/>
      <c r="DY27" s="1537"/>
      <c r="DZ27" s="1537"/>
      <c r="EA27" s="1537"/>
      <c r="EB27" s="1537"/>
      <c r="EC27" s="1537"/>
      <c r="ED27" s="1537"/>
      <c r="EE27" s="1537"/>
      <c r="EF27" s="1537"/>
      <c r="EG27" s="1537"/>
      <c r="EH27" s="1537"/>
      <c r="EI27" s="1537"/>
      <c r="EJ27" s="1537"/>
      <c r="EK27" s="1537"/>
      <c r="EL27" s="1537"/>
      <c r="EM27" s="1537"/>
      <c r="EN27" s="1537"/>
      <c r="EO27" s="1537"/>
      <c r="EP27" s="1537"/>
      <c r="EQ27" s="1537"/>
      <c r="ER27" s="1537"/>
      <c r="ES27" s="1537"/>
      <c r="ET27" s="1537"/>
      <c r="EU27" s="1537"/>
      <c r="EV27" s="1537"/>
      <c r="EW27" s="1537"/>
      <c r="EX27" s="1537"/>
      <c r="EY27" s="1537"/>
      <c r="EZ27" s="1537"/>
      <c r="FA27" s="1537"/>
      <c r="FB27" s="1537"/>
      <c r="FC27" s="1537"/>
      <c r="FD27" s="1537"/>
      <c r="FE27" s="1537"/>
      <c r="FF27" s="1537"/>
      <c r="FG27" s="1537"/>
      <c r="FH27" s="1537"/>
      <c r="FI27" s="1537"/>
      <c r="FJ27" s="1537"/>
      <c r="FK27" s="1537"/>
      <c r="FL27" s="1537"/>
      <c r="FM27" s="1537"/>
      <c r="FN27" s="1537"/>
      <c r="FO27" s="1537"/>
      <c r="FP27" s="1537"/>
      <c r="FQ27" s="1537"/>
      <c r="FR27" s="1537"/>
      <c r="FS27" s="1537"/>
      <c r="FT27" s="1537"/>
      <c r="FU27" s="1537"/>
      <c r="FV27" s="1537"/>
      <c r="FW27" s="1537"/>
      <c r="FX27" s="1537"/>
      <c r="FY27" s="1537"/>
      <c r="FZ27" s="1537"/>
      <c r="GA27" s="1537"/>
      <c r="GB27" s="1537"/>
      <c r="GC27" s="1537"/>
      <c r="GD27" s="1537"/>
      <c r="GE27" s="1537"/>
      <c r="GF27" s="1537"/>
      <c r="GG27" s="1537"/>
      <c r="GH27" s="1537"/>
      <c r="GI27" s="1537"/>
      <c r="GJ27" s="1537"/>
      <c r="GK27" s="1537"/>
      <c r="GL27" s="1537"/>
      <c r="GM27" s="1537"/>
      <c r="GN27" s="1537"/>
      <c r="GO27" s="1537"/>
      <c r="GP27" s="1537"/>
      <c r="GQ27" s="1537"/>
      <c r="GR27" s="1537"/>
      <c r="GS27" s="1537"/>
      <c r="GT27" s="1537"/>
      <c r="GU27" s="1537"/>
      <c r="GV27" s="1537"/>
      <c r="GW27" s="1537"/>
      <c r="GX27" s="1537"/>
      <c r="GY27" s="1537"/>
      <c r="GZ27" s="1537"/>
      <c r="HA27" s="1537"/>
      <c r="HB27" s="1537"/>
      <c r="HC27" s="1537"/>
      <c r="HD27" s="1537"/>
      <c r="HE27" s="1537"/>
      <c r="HF27" s="1537"/>
      <c r="HG27" s="1537"/>
      <c r="HH27" s="1537"/>
      <c r="HI27" s="1537"/>
      <c r="HJ27" s="1537"/>
      <c r="HK27" s="1537"/>
      <c r="HL27" s="1537"/>
      <c r="HM27" s="1537"/>
      <c r="HN27" s="1537"/>
      <c r="HO27" s="1537"/>
      <c r="HP27" s="1537"/>
      <c r="HQ27" s="1537"/>
      <c r="HR27" s="1537"/>
      <c r="HS27" s="1537"/>
      <c r="HT27" s="1537"/>
      <c r="HU27" s="1537"/>
      <c r="HV27" s="1537"/>
      <c r="HW27" s="1537"/>
      <c r="HX27" s="1537"/>
      <c r="HY27" s="1537"/>
      <c r="HZ27" s="1537"/>
      <c r="IA27" s="1537"/>
      <c r="IB27" s="1537"/>
      <c r="IC27" s="1537"/>
      <c r="ID27" s="1537"/>
      <c r="IE27" s="1537"/>
      <c r="IF27" s="1537"/>
      <c r="IG27" s="1537"/>
      <c r="IH27" s="1537"/>
      <c r="II27" s="1537"/>
      <c r="IJ27" s="1537"/>
      <c r="IK27" s="1537"/>
      <c r="IL27" s="1537"/>
      <c r="IM27" s="1537"/>
      <c r="IN27" s="1537"/>
      <c r="IO27" s="1537"/>
      <c r="IP27" s="1537"/>
      <c r="IQ27" s="1537"/>
      <c r="IR27" s="1537"/>
      <c r="IS27" s="1537"/>
      <c r="IT27" s="1537"/>
      <c r="IU27" s="1537"/>
      <c r="IV27" s="1537"/>
    </row>
    <row r="28" spans="1:256">
      <c r="A28" s="1541">
        <f t="shared" si="2"/>
        <v>15</v>
      </c>
      <c r="B28" s="1538" t="s">
        <v>515</v>
      </c>
      <c r="C28" s="629">
        <f t="shared" si="3"/>
        <v>0</v>
      </c>
      <c r="D28" s="629">
        <f t="shared" si="5"/>
        <v>0</v>
      </c>
      <c r="E28" s="1538">
        <v>31</v>
      </c>
      <c r="F28" s="446">
        <v>62</v>
      </c>
      <c r="G28" s="1549">
        <f t="shared" si="0"/>
        <v>0.16986301369863013</v>
      </c>
      <c r="H28" s="629">
        <f t="shared" si="1"/>
        <v>0</v>
      </c>
      <c r="I28" s="629">
        <f t="shared" si="4"/>
        <v>0</v>
      </c>
      <c r="J28" s="1537"/>
      <c r="K28" s="1537"/>
      <c r="L28" s="1537"/>
      <c r="M28" s="1537"/>
      <c r="N28" s="1537"/>
      <c r="O28" s="1537"/>
      <c r="P28" s="1537"/>
      <c r="Q28" s="1537"/>
      <c r="R28" s="1537"/>
      <c r="S28" s="1537"/>
      <c r="T28" s="1537"/>
      <c r="U28" s="1537"/>
      <c r="V28" s="1537"/>
      <c r="W28" s="1537"/>
      <c r="X28" s="1537"/>
      <c r="Y28" s="1537"/>
      <c r="Z28" s="1537"/>
      <c r="AA28" s="1537"/>
      <c r="AB28" s="1537"/>
      <c r="AC28" s="1537"/>
      <c r="AD28" s="1537"/>
      <c r="AE28" s="1537"/>
      <c r="AF28" s="1537"/>
      <c r="AG28" s="1537"/>
      <c r="AH28" s="1537"/>
      <c r="AI28" s="1537"/>
      <c r="AJ28" s="1537"/>
      <c r="AK28" s="1537"/>
      <c r="AL28" s="1537"/>
      <c r="AM28" s="1537"/>
      <c r="AN28" s="1537"/>
      <c r="AO28" s="1537"/>
      <c r="AP28" s="1537"/>
      <c r="AQ28" s="1537"/>
      <c r="AR28" s="1537"/>
      <c r="AS28" s="1537"/>
      <c r="AT28" s="1537"/>
      <c r="AU28" s="1537"/>
      <c r="AV28" s="1537"/>
      <c r="AW28" s="1537"/>
      <c r="AX28" s="1537"/>
      <c r="AY28" s="1537"/>
      <c r="AZ28" s="1537"/>
      <c r="BA28" s="1537"/>
      <c r="BB28" s="1537"/>
      <c r="BC28" s="1537"/>
      <c r="BD28" s="1537"/>
      <c r="BE28" s="1537"/>
      <c r="BF28" s="1537"/>
      <c r="BG28" s="1537"/>
      <c r="BH28" s="1537"/>
      <c r="BI28" s="1537"/>
      <c r="BJ28" s="1537"/>
      <c r="BK28" s="1537"/>
      <c r="BL28" s="1537"/>
      <c r="BM28" s="1537"/>
      <c r="BN28" s="1537"/>
      <c r="BO28" s="1537"/>
      <c r="BP28" s="1537"/>
      <c r="BQ28" s="1537"/>
      <c r="BR28" s="1537"/>
      <c r="BS28" s="1537"/>
      <c r="BT28" s="1537"/>
      <c r="BU28" s="1537"/>
      <c r="BV28" s="1537"/>
      <c r="BW28" s="1537"/>
      <c r="BX28" s="1537"/>
      <c r="BY28" s="1537"/>
      <c r="BZ28" s="1537"/>
      <c r="CA28" s="1537"/>
      <c r="CB28" s="1537"/>
      <c r="CC28" s="1537"/>
      <c r="CD28" s="1537"/>
      <c r="CE28" s="1537"/>
      <c r="CF28" s="1537"/>
      <c r="CG28" s="1537"/>
      <c r="CH28" s="1537"/>
      <c r="CI28" s="1537"/>
      <c r="CJ28" s="1537"/>
      <c r="CK28" s="1537"/>
      <c r="CL28" s="1537"/>
      <c r="CM28" s="1537"/>
      <c r="CN28" s="1537"/>
      <c r="CO28" s="1537"/>
      <c r="CP28" s="1537"/>
      <c r="CQ28" s="1537"/>
      <c r="CR28" s="1537"/>
      <c r="CS28" s="1537"/>
      <c r="CT28" s="1537"/>
      <c r="CU28" s="1537"/>
      <c r="CV28" s="1537"/>
      <c r="CW28" s="1537"/>
      <c r="CX28" s="1537"/>
      <c r="CY28" s="1537"/>
      <c r="CZ28" s="1537"/>
      <c r="DA28" s="1537"/>
      <c r="DB28" s="1537"/>
      <c r="DC28" s="1537"/>
      <c r="DD28" s="1537"/>
      <c r="DE28" s="1537"/>
      <c r="DF28" s="1537"/>
      <c r="DG28" s="1537"/>
      <c r="DH28" s="1537"/>
      <c r="DI28" s="1537"/>
      <c r="DJ28" s="1537"/>
      <c r="DK28" s="1537"/>
      <c r="DL28" s="1537"/>
      <c r="DM28" s="1537"/>
      <c r="DN28" s="1537"/>
      <c r="DO28" s="1537"/>
      <c r="DP28" s="1537"/>
      <c r="DQ28" s="1537"/>
      <c r="DR28" s="1537"/>
      <c r="DS28" s="1537"/>
      <c r="DT28" s="1537"/>
      <c r="DU28" s="1537"/>
      <c r="DV28" s="1537"/>
      <c r="DW28" s="1537"/>
      <c r="DX28" s="1537"/>
      <c r="DY28" s="1537"/>
      <c r="DZ28" s="1537"/>
      <c r="EA28" s="1537"/>
      <c r="EB28" s="1537"/>
      <c r="EC28" s="1537"/>
      <c r="ED28" s="1537"/>
      <c r="EE28" s="1537"/>
      <c r="EF28" s="1537"/>
      <c r="EG28" s="1537"/>
      <c r="EH28" s="1537"/>
      <c r="EI28" s="1537"/>
      <c r="EJ28" s="1537"/>
      <c r="EK28" s="1537"/>
      <c r="EL28" s="1537"/>
      <c r="EM28" s="1537"/>
      <c r="EN28" s="1537"/>
      <c r="EO28" s="1537"/>
      <c r="EP28" s="1537"/>
      <c r="EQ28" s="1537"/>
      <c r="ER28" s="1537"/>
      <c r="ES28" s="1537"/>
      <c r="ET28" s="1537"/>
      <c r="EU28" s="1537"/>
      <c r="EV28" s="1537"/>
      <c r="EW28" s="1537"/>
      <c r="EX28" s="1537"/>
      <c r="EY28" s="1537"/>
      <c r="EZ28" s="1537"/>
      <c r="FA28" s="1537"/>
      <c r="FB28" s="1537"/>
      <c r="FC28" s="1537"/>
      <c r="FD28" s="1537"/>
      <c r="FE28" s="1537"/>
      <c r="FF28" s="1537"/>
      <c r="FG28" s="1537"/>
      <c r="FH28" s="1537"/>
      <c r="FI28" s="1537"/>
      <c r="FJ28" s="1537"/>
      <c r="FK28" s="1537"/>
      <c r="FL28" s="1537"/>
      <c r="FM28" s="1537"/>
      <c r="FN28" s="1537"/>
      <c r="FO28" s="1537"/>
      <c r="FP28" s="1537"/>
      <c r="FQ28" s="1537"/>
      <c r="FR28" s="1537"/>
      <c r="FS28" s="1537"/>
      <c r="FT28" s="1537"/>
      <c r="FU28" s="1537"/>
      <c r="FV28" s="1537"/>
      <c r="FW28" s="1537"/>
      <c r="FX28" s="1537"/>
      <c r="FY28" s="1537"/>
      <c r="FZ28" s="1537"/>
      <c r="GA28" s="1537"/>
      <c r="GB28" s="1537"/>
      <c r="GC28" s="1537"/>
      <c r="GD28" s="1537"/>
      <c r="GE28" s="1537"/>
      <c r="GF28" s="1537"/>
      <c r="GG28" s="1537"/>
      <c r="GH28" s="1537"/>
      <c r="GI28" s="1537"/>
      <c r="GJ28" s="1537"/>
      <c r="GK28" s="1537"/>
      <c r="GL28" s="1537"/>
      <c r="GM28" s="1537"/>
      <c r="GN28" s="1537"/>
      <c r="GO28" s="1537"/>
      <c r="GP28" s="1537"/>
      <c r="GQ28" s="1537"/>
      <c r="GR28" s="1537"/>
      <c r="GS28" s="1537"/>
      <c r="GT28" s="1537"/>
      <c r="GU28" s="1537"/>
      <c r="GV28" s="1537"/>
      <c r="GW28" s="1537"/>
      <c r="GX28" s="1537"/>
      <c r="GY28" s="1537"/>
      <c r="GZ28" s="1537"/>
      <c r="HA28" s="1537"/>
      <c r="HB28" s="1537"/>
      <c r="HC28" s="1537"/>
      <c r="HD28" s="1537"/>
      <c r="HE28" s="1537"/>
      <c r="HF28" s="1537"/>
      <c r="HG28" s="1537"/>
      <c r="HH28" s="1537"/>
      <c r="HI28" s="1537"/>
      <c r="HJ28" s="1537"/>
      <c r="HK28" s="1537"/>
      <c r="HL28" s="1537"/>
      <c r="HM28" s="1537"/>
      <c r="HN28" s="1537"/>
      <c r="HO28" s="1537"/>
      <c r="HP28" s="1537"/>
      <c r="HQ28" s="1537"/>
      <c r="HR28" s="1537"/>
      <c r="HS28" s="1537"/>
      <c r="HT28" s="1537"/>
      <c r="HU28" s="1537"/>
      <c r="HV28" s="1537"/>
      <c r="HW28" s="1537"/>
      <c r="HX28" s="1537"/>
      <c r="HY28" s="1537"/>
      <c r="HZ28" s="1537"/>
      <c r="IA28" s="1537"/>
      <c r="IB28" s="1537"/>
      <c r="IC28" s="1537"/>
      <c r="ID28" s="1537"/>
      <c r="IE28" s="1537"/>
      <c r="IF28" s="1537"/>
      <c r="IG28" s="1537"/>
      <c r="IH28" s="1537"/>
      <c r="II28" s="1537"/>
      <c r="IJ28" s="1537"/>
      <c r="IK28" s="1537"/>
      <c r="IL28" s="1537"/>
      <c r="IM28" s="1537"/>
      <c r="IN28" s="1537"/>
      <c r="IO28" s="1537"/>
      <c r="IP28" s="1537"/>
      <c r="IQ28" s="1537"/>
      <c r="IR28" s="1537"/>
      <c r="IS28" s="1537"/>
      <c r="IT28" s="1537"/>
      <c r="IU28" s="1537"/>
      <c r="IV28" s="1537"/>
    </row>
    <row r="29" spans="1:256">
      <c r="A29" s="1541">
        <f t="shared" si="2"/>
        <v>16</v>
      </c>
      <c r="B29" s="1538" t="s">
        <v>516</v>
      </c>
      <c r="C29" s="629">
        <f t="shared" si="3"/>
        <v>0</v>
      </c>
      <c r="D29" s="629">
        <f t="shared" si="5"/>
        <v>0</v>
      </c>
      <c r="E29" s="1538">
        <v>30</v>
      </c>
      <c r="F29" s="446">
        <v>32</v>
      </c>
      <c r="G29" s="1549">
        <f t="shared" si="0"/>
        <v>8.7671232876712329E-2</v>
      </c>
      <c r="H29" s="629">
        <f t="shared" si="1"/>
        <v>0</v>
      </c>
      <c r="I29" s="629">
        <f t="shared" si="4"/>
        <v>0</v>
      </c>
      <c r="J29" s="1537"/>
      <c r="K29" s="1537"/>
      <c r="L29" s="1537"/>
      <c r="M29" s="1537"/>
      <c r="N29" s="1537"/>
      <c r="O29" s="1537"/>
      <c r="P29" s="1537"/>
      <c r="Q29" s="1537"/>
      <c r="R29" s="1537"/>
      <c r="S29" s="1537"/>
      <c r="T29" s="1537"/>
      <c r="U29" s="1537"/>
      <c r="V29" s="1537"/>
      <c r="W29" s="1537"/>
      <c r="X29" s="1537"/>
      <c r="Y29" s="1537"/>
      <c r="Z29" s="1537"/>
      <c r="AA29" s="1537"/>
      <c r="AB29" s="1537"/>
      <c r="AC29" s="1537"/>
      <c r="AD29" s="1537"/>
      <c r="AE29" s="1537"/>
      <c r="AF29" s="1537"/>
      <c r="AG29" s="1537"/>
      <c r="AH29" s="1537"/>
      <c r="AI29" s="1537"/>
      <c r="AJ29" s="1537"/>
      <c r="AK29" s="1537"/>
      <c r="AL29" s="1537"/>
      <c r="AM29" s="1537"/>
      <c r="AN29" s="1537"/>
      <c r="AO29" s="1537"/>
      <c r="AP29" s="1537"/>
      <c r="AQ29" s="1537"/>
      <c r="AR29" s="1537"/>
      <c r="AS29" s="1537"/>
      <c r="AT29" s="1537"/>
      <c r="AU29" s="1537"/>
      <c r="AV29" s="1537"/>
      <c r="AW29" s="1537"/>
      <c r="AX29" s="1537"/>
      <c r="AY29" s="1537"/>
      <c r="AZ29" s="1537"/>
      <c r="BA29" s="1537"/>
      <c r="BB29" s="1537"/>
      <c r="BC29" s="1537"/>
      <c r="BD29" s="1537"/>
      <c r="BE29" s="1537"/>
      <c r="BF29" s="1537"/>
      <c r="BG29" s="1537"/>
      <c r="BH29" s="1537"/>
      <c r="BI29" s="1537"/>
      <c r="BJ29" s="1537"/>
      <c r="BK29" s="1537"/>
      <c r="BL29" s="1537"/>
      <c r="BM29" s="1537"/>
      <c r="BN29" s="1537"/>
      <c r="BO29" s="1537"/>
      <c r="BP29" s="1537"/>
      <c r="BQ29" s="1537"/>
      <c r="BR29" s="1537"/>
      <c r="BS29" s="1537"/>
      <c r="BT29" s="1537"/>
      <c r="BU29" s="1537"/>
      <c r="BV29" s="1537"/>
      <c r="BW29" s="1537"/>
      <c r="BX29" s="1537"/>
      <c r="BY29" s="1537"/>
      <c r="BZ29" s="1537"/>
      <c r="CA29" s="1537"/>
      <c r="CB29" s="1537"/>
      <c r="CC29" s="1537"/>
      <c r="CD29" s="1537"/>
      <c r="CE29" s="1537"/>
      <c r="CF29" s="1537"/>
      <c r="CG29" s="1537"/>
      <c r="CH29" s="1537"/>
      <c r="CI29" s="1537"/>
      <c r="CJ29" s="1537"/>
      <c r="CK29" s="1537"/>
      <c r="CL29" s="1537"/>
      <c r="CM29" s="1537"/>
      <c r="CN29" s="1537"/>
      <c r="CO29" s="1537"/>
      <c r="CP29" s="1537"/>
      <c r="CQ29" s="1537"/>
      <c r="CR29" s="1537"/>
      <c r="CS29" s="1537"/>
      <c r="CT29" s="1537"/>
      <c r="CU29" s="1537"/>
      <c r="CV29" s="1537"/>
      <c r="CW29" s="1537"/>
      <c r="CX29" s="1537"/>
      <c r="CY29" s="1537"/>
      <c r="CZ29" s="1537"/>
      <c r="DA29" s="1537"/>
      <c r="DB29" s="1537"/>
      <c r="DC29" s="1537"/>
      <c r="DD29" s="1537"/>
      <c r="DE29" s="1537"/>
      <c r="DF29" s="1537"/>
      <c r="DG29" s="1537"/>
      <c r="DH29" s="1537"/>
      <c r="DI29" s="1537"/>
      <c r="DJ29" s="1537"/>
      <c r="DK29" s="1537"/>
      <c r="DL29" s="1537"/>
      <c r="DM29" s="1537"/>
      <c r="DN29" s="1537"/>
      <c r="DO29" s="1537"/>
      <c r="DP29" s="1537"/>
      <c r="DQ29" s="1537"/>
      <c r="DR29" s="1537"/>
      <c r="DS29" s="1537"/>
      <c r="DT29" s="1537"/>
      <c r="DU29" s="1537"/>
      <c r="DV29" s="1537"/>
      <c r="DW29" s="1537"/>
      <c r="DX29" s="1537"/>
      <c r="DY29" s="1537"/>
      <c r="DZ29" s="1537"/>
      <c r="EA29" s="1537"/>
      <c r="EB29" s="1537"/>
      <c r="EC29" s="1537"/>
      <c r="ED29" s="1537"/>
      <c r="EE29" s="1537"/>
      <c r="EF29" s="1537"/>
      <c r="EG29" s="1537"/>
      <c r="EH29" s="1537"/>
      <c r="EI29" s="1537"/>
      <c r="EJ29" s="1537"/>
      <c r="EK29" s="1537"/>
      <c r="EL29" s="1537"/>
      <c r="EM29" s="1537"/>
      <c r="EN29" s="1537"/>
      <c r="EO29" s="1537"/>
      <c r="EP29" s="1537"/>
      <c r="EQ29" s="1537"/>
      <c r="ER29" s="1537"/>
      <c r="ES29" s="1537"/>
      <c r="ET29" s="1537"/>
      <c r="EU29" s="1537"/>
      <c r="EV29" s="1537"/>
      <c r="EW29" s="1537"/>
      <c r="EX29" s="1537"/>
      <c r="EY29" s="1537"/>
      <c r="EZ29" s="1537"/>
      <c r="FA29" s="1537"/>
      <c r="FB29" s="1537"/>
      <c r="FC29" s="1537"/>
      <c r="FD29" s="1537"/>
      <c r="FE29" s="1537"/>
      <c r="FF29" s="1537"/>
      <c r="FG29" s="1537"/>
      <c r="FH29" s="1537"/>
      <c r="FI29" s="1537"/>
      <c r="FJ29" s="1537"/>
      <c r="FK29" s="1537"/>
      <c r="FL29" s="1537"/>
      <c r="FM29" s="1537"/>
      <c r="FN29" s="1537"/>
      <c r="FO29" s="1537"/>
      <c r="FP29" s="1537"/>
      <c r="FQ29" s="1537"/>
      <c r="FR29" s="1537"/>
      <c r="FS29" s="1537"/>
      <c r="FT29" s="1537"/>
      <c r="FU29" s="1537"/>
      <c r="FV29" s="1537"/>
      <c r="FW29" s="1537"/>
      <c r="FX29" s="1537"/>
      <c r="FY29" s="1537"/>
      <c r="FZ29" s="1537"/>
      <c r="GA29" s="1537"/>
      <c r="GB29" s="1537"/>
      <c r="GC29" s="1537"/>
      <c r="GD29" s="1537"/>
      <c r="GE29" s="1537"/>
      <c r="GF29" s="1537"/>
      <c r="GG29" s="1537"/>
      <c r="GH29" s="1537"/>
      <c r="GI29" s="1537"/>
      <c r="GJ29" s="1537"/>
      <c r="GK29" s="1537"/>
      <c r="GL29" s="1537"/>
      <c r="GM29" s="1537"/>
      <c r="GN29" s="1537"/>
      <c r="GO29" s="1537"/>
      <c r="GP29" s="1537"/>
      <c r="GQ29" s="1537"/>
      <c r="GR29" s="1537"/>
      <c r="GS29" s="1537"/>
      <c r="GT29" s="1537"/>
      <c r="GU29" s="1537"/>
      <c r="GV29" s="1537"/>
      <c r="GW29" s="1537"/>
      <c r="GX29" s="1537"/>
      <c r="GY29" s="1537"/>
      <c r="GZ29" s="1537"/>
      <c r="HA29" s="1537"/>
      <c r="HB29" s="1537"/>
      <c r="HC29" s="1537"/>
      <c r="HD29" s="1537"/>
      <c r="HE29" s="1537"/>
      <c r="HF29" s="1537"/>
      <c r="HG29" s="1537"/>
      <c r="HH29" s="1537"/>
      <c r="HI29" s="1537"/>
      <c r="HJ29" s="1537"/>
      <c r="HK29" s="1537"/>
      <c r="HL29" s="1537"/>
      <c r="HM29" s="1537"/>
      <c r="HN29" s="1537"/>
      <c r="HO29" s="1537"/>
      <c r="HP29" s="1537"/>
      <c r="HQ29" s="1537"/>
      <c r="HR29" s="1537"/>
      <c r="HS29" s="1537"/>
      <c r="HT29" s="1537"/>
      <c r="HU29" s="1537"/>
      <c r="HV29" s="1537"/>
      <c r="HW29" s="1537"/>
      <c r="HX29" s="1537"/>
      <c r="HY29" s="1537"/>
      <c r="HZ29" s="1537"/>
      <c r="IA29" s="1537"/>
      <c r="IB29" s="1537"/>
      <c r="IC29" s="1537"/>
      <c r="ID29" s="1537"/>
      <c r="IE29" s="1537"/>
      <c r="IF29" s="1537"/>
      <c r="IG29" s="1537"/>
      <c r="IH29" s="1537"/>
      <c r="II29" s="1537"/>
      <c r="IJ29" s="1537"/>
      <c r="IK29" s="1537"/>
      <c r="IL29" s="1537"/>
      <c r="IM29" s="1537"/>
      <c r="IN29" s="1537"/>
      <c r="IO29" s="1537"/>
      <c r="IP29" s="1537"/>
      <c r="IQ29" s="1537"/>
      <c r="IR29" s="1537"/>
      <c r="IS29" s="1537"/>
      <c r="IT29" s="1537"/>
      <c r="IU29" s="1537"/>
      <c r="IV29" s="1537"/>
    </row>
    <row r="30" spans="1:256">
      <c r="A30" s="1541">
        <f t="shared" si="2"/>
        <v>17</v>
      </c>
      <c r="B30" s="1538" t="s">
        <v>327</v>
      </c>
      <c r="C30" s="629">
        <f t="shared" si="3"/>
        <v>0</v>
      </c>
      <c r="D30" s="629">
        <f t="shared" si="5"/>
        <v>0</v>
      </c>
      <c r="E30" s="1538">
        <v>31</v>
      </c>
      <c r="F30" s="446">
        <f>F29-E30</f>
        <v>1</v>
      </c>
      <c r="G30" s="1549">
        <f t="shared" si="0"/>
        <v>2.7397260273972603E-3</v>
      </c>
      <c r="H30" s="629">
        <f t="shared" si="1"/>
        <v>0</v>
      </c>
      <c r="I30" s="629">
        <f t="shared" si="4"/>
        <v>0</v>
      </c>
      <c r="J30" s="1537"/>
      <c r="K30" s="1537"/>
      <c r="L30" s="1537"/>
      <c r="M30" s="1537"/>
      <c r="N30" s="1537"/>
      <c r="O30" s="1537"/>
      <c r="P30" s="1537"/>
      <c r="Q30" s="1537"/>
      <c r="R30" s="1537"/>
      <c r="S30" s="1537"/>
      <c r="T30" s="1537"/>
      <c r="U30" s="1537"/>
      <c r="V30" s="1537"/>
      <c r="W30" s="1537"/>
      <c r="X30" s="1537"/>
      <c r="Y30" s="1537"/>
      <c r="Z30" s="1537"/>
      <c r="AA30" s="1537"/>
      <c r="AB30" s="1537"/>
      <c r="AC30" s="1537"/>
      <c r="AD30" s="1537"/>
      <c r="AE30" s="1537"/>
      <c r="AF30" s="1537"/>
      <c r="AG30" s="1537"/>
      <c r="AH30" s="1537"/>
      <c r="AI30" s="1537"/>
      <c r="AJ30" s="1537"/>
      <c r="AK30" s="1537"/>
      <c r="AL30" s="1537"/>
      <c r="AM30" s="1537"/>
      <c r="AN30" s="1537"/>
      <c r="AO30" s="1537"/>
      <c r="AP30" s="1537"/>
      <c r="AQ30" s="1537"/>
      <c r="AR30" s="1537"/>
      <c r="AS30" s="1537"/>
      <c r="AT30" s="1537"/>
      <c r="AU30" s="1537"/>
      <c r="AV30" s="1537"/>
      <c r="AW30" s="1537"/>
      <c r="AX30" s="1537"/>
      <c r="AY30" s="1537"/>
      <c r="AZ30" s="1537"/>
      <c r="BA30" s="1537"/>
      <c r="BB30" s="1537"/>
      <c r="BC30" s="1537"/>
      <c r="BD30" s="1537"/>
      <c r="BE30" s="1537"/>
      <c r="BF30" s="1537"/>
      <c r="BG30" s="1537"/>
      <c r="BH30" s="1537"/>
      <c r="BI30" s="1537"/>
      <c r="BJ30" s="1537"/>
      <c r="BK30" s="1537"/>
      <c r="BL30" s="1537"/>
      <c r="BM30" s="1537"/>
      <c r="BN30" s="1537"/>
      <c r="BO30" s="1537"/>
      <c r="BP30" s="1537"/>
      <c r="BQ30" s="1537"/>
      <c r="BR30" s="1537"/>
      <c r="BS30" s="1537"/>
      <c r="BT30" s="1537"/>
      <c r="BU30" s="1537"/>
      <c r="BV30" s="1537"/>
      <c r="BW30" s="1537"/>
      <c r="BX30" s="1537"/>
      <c r="BY30" s="1537"/>
      <c r="BZ30" s="1537"/>
      <c r="CA30" s="1537"/>
      <c r="CB30" s="1537"/>
      <c r="CC30" s="1537"/>
      <c r="CD30" s="1537"/>
      <c r="CE30" s="1537"/>
      <c r="CF30" s="1537"/>
      <c r="CG30" s="1537"/>
      <c r="CH30" s="1537"/>
      <c r="CI30" s="1537"/>
      <c r="CJ30" s="1537"/>
      <c r="CK30" s="1537"/>
      <c r="CL30" s="1537"/>
      <c r="CM30" s="1537"/>
      <c r="CN30" s="1537"/>
      <c r="CO30" s="1537"/>
      <c r="CP30" s="1537"/>
      <c r="CQ30" s="1537"/>
      <c r="CR30" s="1537"/>
      <c r="CS30" s="1537"/>
      <c r="CT30" s="1537"/>
      <c r="CU30" s="1537"/>
      <c r="CV30" s="1537"/>
      <c r="CW30" s="1537"/>
      <c r="CX30" s="1537"/>
      <c r="CY30" s="1537"/>
      <c r="CZ30" s="1537"/>
      <c r="DA30" s="1537"/>
      <c r="DB30" s="1537"/>
      <c r="DC30" s="1537"/>
      <c r="DD30" s="1537"/>
      <c r="DE30" s="1537"/>
      <c r="DF30" s="1537"/>
      <c r="DG30" s="1537"/>
      <c r="DH30" s="1537"/>
      <c r="DI30" s="1537"/>
      <c r="DJ30" s="1537"/>
      <c r="DK30" s="1537"/>
      <c r="DL30" s="1537"/>
      <c r="DM30" s="1537"/>
      <c r="DN30" s="1537"/>
      <c r="DO30" s="1537"/>
      <c r="DP30" s="1537"/>
      <c r="DQ30" s="1537"/>
      <c r="DR30" s="1537"/>
      <c r="DS30" s="1537"/>
      <c r="DT30" s="1537"/>
      <c r="DU30" s="1537"/>
      <c r="DV30" s="1537"/>
      <c r="DW30" s="1537"/>
      <c r="DX30" s="1537"/>
      <c r="DY30" s="1537"/>
      <c r="DZ30" s="1537"/>
      <c r="EA30" s="1537"/>
      <c r="EB30" s="1537"/>
      <c r="EC30" s="1537"/>
      <c r="ED30" s="1537"/>
      <c r="EE30" s="1537"/>
      <c r="EF30" s="1537"/>
      <c r="EG30" s="1537"/>
      <c r="EH30" s="1537"/>
      <c r="EI30" s="1537"/>
      <c r="EJ30" s="1537"/>
      <c r="EK30" s="1537"/>
      <c r="EL30" s="1537"/>
      <c r="EM30" s="1537"/>
      <c r="EN30" s="1537"/>
      <c r="EO30" s="1537"/>
      <c r="EP30" s="1537"/>
      <c r="EQ30" s="1537"/>
      <c r="ER30" s="1537"/>
      <c r="ES30" s="1537"/>
      <c r="ET30" s="1537"/>
      <c r="EU30" s="1537"/>
      <c r="EV30" s="1537"/>
      <c r="EW30" s="1537"/>
      <c r="EX30" s="1537"/>
      <c r="EY30" s="1537"/>
      <c r="EZ30" s="1537"/>
      <c r="FA30" s="1537"/>
      <c r="FB30" s="1537"/>
      <c r="FC30" s="1537"/>
      <c r="FD30" s="1537"/>
      <c r="FE30" s="1537"/>
      <c r="FF30" s="1537"/>
      <c r="FG30" s="1537"/>
      <c r="FH30" s="1537"/>
      <c r="FI30" s="1537"/>
      <c r="FJ30" s="1537"/>
      <c r="FK30" s="1537"/>
      <c r="FL30" s="1537"/>
      <c r="FM30" s="1537"/>
      <c r="FN30" s="1537"/>
      <c r="FO30" s="1537"/>
      <c r="FP30" s="1537"/>
      <c r="FQ30" s="1537"/>
      <c r="FR30" s="1537"/>
      <c r="FS30" s="1537"/>
      <c r="FT30" s="1537"/>
      <c r="FU30" s="1537"/>
      <c r="FV30" s="1537"/>
      <c r="FW30" s="1537"/>
      <c r="FX30" s="1537"/>
      <c r="FY30" s="1537"/>
      <c r="FZ30" s="1537"/>
      <c r="GA30" s="1537"/>
      <c r="GB30" s="1537"/>
      <c r="GC30" s="1537"/>
      <c r="GD30" s="1537"/>
      <c r="GE30" s="1537"/>
      <c r="GF30" s="1537"/>
      <c r="GG30" s="1537"/>
      <c r="GH30" s="1537"/>
      <c r="GI30" s="1537"/>
      <c r="GJ30" s="1537"/>
      <c r="GK30" s="1537"/>
      <c r="GL30" s="1537"/>
      <c r="GM30" s="1537"/>
      <c r="GN30" s="1537"/>
      <c r="GO30" s="1537"/>
      <c r="GP30" s="1537"/>
      <c r="GQ30" s="1537"/>
      <c r="GR30" s="1537"/>
      <c r="GS30" s="1537"/>
      <c r="GT30" s="1537"/>
      <c r="GU30" s="1537"/>
      <c r="GV30" s="1537"/>
      <c r="GW30" s="1537"/>
      <c r="GX30" s="1537"/>
      <c r="GY30" s="1537"/>
      <c r="GZ30" s="1537"/>
      <c r="HA30" s="1537"/>
      <c r="HB30" s="1537"/>
      <c r="HC30" s="1537"/>
      <c r="HD30" s="1537"/>
      <c r="HE30" s="1537"/>
      <c r="HF30" s="1537"/>
      <c r="HG30" s="1537"/>
      <c r="HH30" s="1537"/>
      <c r="HI30" s="1537"/>
      <c r="HJ30" s="1537"/>
      <c r="HK30" s="1537"/>
      <c r="HL30" s="1537"/>
      <c r="HM30" s="1537"/>
      <c r="HN30" s="1537"/>
      <c r="HO30" s="1537"/>
      <c r="HP30" s="1537"/>
      <c r="HQ30" s="1537"/>
      <c r="HR30" s="1537"/>
      <c r="HS30" s="1537"/>
      <c r="HT30" s="1537"/>
      <c r="HU30" s="1537"/>
      <c r="HV30" s="1537"/>
      <c r="HW30" s="1537"/>
      <c r="HX30" s="1537"/>
      <c r="HY30" s="1537"/>
      <c r="HZ30" s="1537"/>
      <c r="IA30" s="1537"/>
      <c r="IB30" s="1537"/>
      <c r="IC30" s="1537"/>
      <c r="ID30" s="1537"/>
      <c r="IE30" s="1537"/>
      <c r="IF30" s="1537"/>
      <c r="IG30" s="1537"/>
      <c r="IH30" s="1537"/>
      <c r="II30" s="1537"/>
      <c r="IJ30" s="1537"/>
      <c r="IK30" s="1537"/>
      <c r="IL30" s="1537"/>
      <c r="IM30" s="1537"/>
      <c r="IN30" s="1537"/>
      <c r="IO30" s="1537"/>
      <c r="IP30" s="1537"/>
      <c r="IQ30" s="1537"/>
      <c r="IR30" s="1537"/>
      <c r="IS30" s="1537"/>
      <c r="IT30" s="1537"/>
      <c r="IU30" s="1537"/>
      <c r="IV30" s="1537"/>
    </row>
    <row r="31" spans="1:256">
      <c r="A31" s="1541"/>
      <c r="B31" s="1538"/>
      <c r="C31" s="1550"/>
      <c r="D31" s="1550"/>
      <c r="E31" s="1538"/>
      <c r="F31" s="1538"/>
      <c r="G31" s="1538"/>
      <c r="H31" s="1550"/>
      <c r="I31" s="1550"/>
      <c r="J31" s="1537"/>
      <c r="K31" s="1537"/>
      <c r="L31" s="1537"/>
      <c r="M31" s="1537"/>
      <c r="N31" s="1537"/>
      <c r="O31" s="1537"/>
      <c r="P31" s="1537"/>
      <c r="Q31" s="1537"/>
      <c r="R31" s="1537"/>
      <c r="S31" s="1537"/>
      <c r="T31" s="1537"/>
      <c r="U31" s="1537"/>
      <c r="V31" s="1537"/>
      <c r="W31" s="1537"/>
      <c r="X31" s="1537"/>
      <c r="Y31" s="1537"/>
      <c r="Z31" s="1537"/>
      <c r="AA31" s="1537"/>
      <c r="AB31" s="1537"/>
      <c r="AC31" s="1537"/>
      <c r="AD31" s="1537"/>
      <c r="AE31" s="1537"/>
      <c r="AF31" s="1537"/>
      <c r="AG31" s="1537"/>
      <c r="AH31" s="1537"/>
      <c r="AI31" s="1537"/>
      <c r="AJ31" s="1537"/>
      <c r="AK31" s="1537"/>
      <c r="AL31" s="1537"/>
      <c r="AM31" s="1537"/>
      <c r="AN31" s="1537"/>
      <c r="AO31" s="1537"/>
      <c r="AP31" s="1537"/>
      <c r="AQ31" s="1537"/>
      <c r="AR31" s="1537"/>
      <c r="AS31" s="1537"/>
      <c r="AT31" s="1537"/>
      <c r="AU31" s="1537"/>
      <c r="AV31" s="1537"/>
      <c r="AW31" s="1537"/>
      <c r="AX31" s="1537"/>
      <c r="AY31" s="1537"/>
      <c r="AZ31" s="1537"/>
      <c r="BA31" s="1537"/>
      <c r="BB31" s="1537"/>
      <c r="BC31" s="1537"/>
      <c r="BD31" s="1537"/>
      <c r="BE31" s="1537"/>
      <c r="BF31" s="1537"/>
      <c r="BG31" s="1537"/>
      <c r="BH31" s="1537"/>
      <c r="BI31" s="1537"/>
      <c r="BJ31" s="1537"/>
      <c r="BK31" s="1537"/>
      <c r="BL31" s="1537"/>
      <c r="BM31" s="1537"/>
      <c r="BN31" s="1537"/>
      <c r="BO31" s="1537"/>
      <c r="BP31" s="1537"/>
      <c r="BQ31" s="1537"/>
      <c r="BR31" s="1537"/>
      <c r="BS31" s="1537"/>
      <c r="BT31" s="1537"/>
      <c r="BU31" s="1537"/>
      <c r="BV31" s="1537"/>
      <c r="BW31" s="1537"/>
      <c r="BX31" s="1537"/>
      <c r="BY31" s="1537"/>
      <c r="BZ31" s="1537"/>
      <c r="CA31" s="1537"/>
      <c r="CB31" s="1537"/>
      <c r="CC31" s="1537"/>
      <c r="CD31" s="1537"/>
      <c r="CE31" s="1537"/>
      <c r="CF31" s="1537"/>
      <c r="CG31" s="1537"/>
      <c r="CH31" s="1537"/>
      <c r="CI31" s="1537"/>
      <c r="CJ31" s="1537"/>
      <c r="CK31" s="1537"/>
      <c r="CL31" s="1537"/>
      <c r="CM31" s="1537"/>
      <c r="CN31" s="1537"/>
      <c r="CO31" s="1537"/>
      <c r="CP31" s="1537"/>
      <c r="CQ31" s="1537"/>
      <c r="CR31" s="1537"/>
      <c r="CS31" s="1537"/>
      <c r="CT31" s="1537"/>
      <c r="CU31" s="1537"/>
      <c r="CV31" s="1537"/>
      <c r="CW31" s="1537"/>
      <c r="CX31" s="1537"/>
      <c r="CY31" s="1537"/>
      <c r="CZ31" s="1537"/>
      <c r="DA31" s="1537"/>
      <c r="DB31" s="1537"/>
      <c r="DC31" s="1537"/>
      <c r="DD31" s="1537"/>
      <c r="DE31" s="1537"/>
      <c r="DF31" s="1537"/>
      <c r="DG31" s="1537"/>
      <c r="DH31" s="1537"/>
      <c r="DI31" s="1537"/>
      <c r="DJ31" s="1537"/>
      <c r="DK31" s="1537"/>
      <c r="DL31" s="1537"/>
      <c r="DM31" s="1537"/>
      <c r="DN31" s="1537"/>
      <c r="DO31" s="1537"/>
      <c r="DP31" s="1537"/>
      <c r="DQ31" s="1537"/>
      <c r="DR31" s="1537"/>
      <c r="DS31" s="1537"/>
      <c r="DT31" s="1537"/>
      <c r="DU31" s="1537"/>
      <c r="DV31" s="1537"/>
      <c r="DW31" s="1537"/>
      <c r="DX31" s="1537"/>
      <c r="DY31" s="1537"/>
      <c r="DZ31" s="1537"/>
      <c r="EA31" s="1537"/>
      <c r="EB31" s="1537"/>
      <c r="EC31" s="1537"/>
      <c r="ED31" s="1537"/>
      <c r="EE31" s="1537"/>
      <c r="EF31" s="1537"/>
      <c r="EG31" s="1537"/>
      <c r="EH31" s="1537"/>
      <c r="EI31" s="1537"/>
      <c r="EJ31" s="1537"/>
      <c r="EK31" s="1537"/>
      <c r="EL31" s="1537"/>
      <c r="EM31" s="1537"/>
      <c r="EN31" s="1537"/>
      <c r="EO31" s="1537"/>
      <c r="EP31" s="1537"/>
      <c r="EQ31" s="1537"/>
      <c r="ER31" s="1537"/>
      <c r="ES31" s="1537"/>
      <c r="ET31" s="1537"/>
      <c r="EU31" s="1537"/>
      <c r="EV31" s="1537"/>
      <c r="EW31" s="1537"/>
      <c r="EX31" s="1537"/>
      <c r="EY31" s="1537"/>
      <c r="EZ31" s="1537"/>
      <c r="FA31" s="1537"/>
      <c r="FB31" s="1537"/>
      <c r="FC31" s="1537"/>
      <c r="FD31" s="1537"/>
      <c r="FE31" s="1537"/>
      <c r="FF31" s="1537"/>
      <c r="FG31" s="1537"/>
      <c r="FH31" s="1537"/>
      <c r="FI31" s="1537"/>
      <c r="FJ31" s="1537"/>
      <c r="FK31" s="1537"/>
      <c r="FL31" s="1537"/>
      <c r="FM31" s="1537"/>
      <c r="FN31" s="1537"/>
      <c r="FO31" s="1537"/>
      <c r="FP31" s="1537"/>
      <c r="FQ31" s="1537"/>
      <c r="FR31" s="1537"/>
      <c r="FS31" s="1537"/>
      <c r="FT31" s="1537"/>
      <c r="FU31" s="1537"/>
      <c r="FV31" s="1537"/>
      <c r="FW31" s="1537"/>
      <c r="FX31" s="1537"/>
      <c r="FY31" s="1537"/>
      <c r="FZ31" s="1537"/>
      <c r="GA31" s="1537"/>
      <c r="GB31" s="1537"/>
      <c r="GC31" s="1537"/>
      <c r="GD31" s="1537"/>
      <c r="GE31" s="1537"/>
      <c r="GF31" s="1537"/>
      <c r="GG31" s="1537"/>
      <c r="GH31" s="1537"/>
      <c r="GI31" s="1537"/>
      <c r="GJ31" s="1537"/>
      <c r="GK31" s="1537"/>
      <c r="GL31" s="1537"/>
      <c r="GM31" s="1537"/>
      <c r="GN31" s="1537"/>
      <c r="GO31" s="1537"/>
      <c r="GP31" s="1537"/>
      <c r="GQ31" s="1537"/>
      <c r="GR31" s="1537"/>
      <c r="GS31" s="1537"/>
      <c r="GT31" s="1537"/>
      <c r="GU31" s="1537"/>
      <c r="GV31" s="1537"/>
      <c r="GW31" s="1537"/>
      <c r="GX31" s="1537"/>
      <c r="GY31" s="1537"/>
      <c r="GZ31" s="1537"/>
      <c r="HA31" s="1537"/>
      <c r="HB31" s="1537"/>
      <c r="HC31" s="1537"/>
      <c r="HD31" s="1537"/>
      <c r="HE31" s="1537"/>
      <c r="HF31" s="1537"/>
      <c r="HG31" s="1537"/>
      <c r="HH31" s="1537"/>
      <c r="HI31" s="1537"/>
      <c r="HJ31" s="1537"/>
      <c r="HK31" s="1537"/>
      <c r="HL31" s="1537"/>
      <c r="HM31" s="1537"/>
      <c r="HN31" s="1537"/>
      <c r="HO31" s="1537"/>
      <c r="HP31" s="1537"/>
      <c r="HQ31" s="1537"/>
      <c r="HR31" s="1537"/>
      <c r="HS31" s="1537"/>
      <c r="HT31" s="1537"/>
      <c r="HU31" s="1537"/>
      <c r="HV31" s="1537"/>
      <c r="HW31" s="1537"/>
      <c r="HX31" s="1537"/>
      <c r="HY31" s="1537"/>
      <c r="HZ31" s="1537"/>
      <c r="IA31" s="1537"/>
      <c r="IB31" s="1537"/>
      <c r="IC31" s="1537"/>
      <c r="ID31" s="1537"/>
      <c r="IE31" s="1537"/>
      <c r="IF31" s="1537"/>
      <c r="IG31" s="1537"/>
      <c r="IH31" s="1537"/>
      <c r="II31" s="1537"/>
      <c r="IJ31" s="1537"/>
      <c r="IK31" s="1537"/>
      <c r="IL31" s="1537"/>
      <c r="IM31" s="1537"/>
      <c r="IN31" s="1537"/>
      <c r="IO31" s="1537"/>
      <c r="IP31" s="1537"/>
      <c r="IQ31" s="1537"/>
      <c r="IR31" s="1537"/>
      <c r="IS31" s="1537"/>
      <c r="IT31" s="1537"/>
      <c r="IU31" s="1537"/>
      <c r="IV31" s="1537"/>
    </row>
    <row r="32" spans="1:256">
      <c r="A32" s="1541">
        <f>+A30+1</f>
        <v>18</v>
      </c>
      <c r="B32" s="1538" t="s">
        <v>517</v>
      </c>
      <c r="C32" s="1550"/>
      <c r="D32" s="629">
        <f>+D30</f>
        <v>0</v>
      </c>
      <c r="E32" s="1538"/>
      <c r="F32" s="1538"/>
      <c r="G32" s="1538"/>
      <c r="H32" s="1550"/>
      <c r="I32" s="629">
        <f>+I30</f>
        <v>0</v>
      </c>
      <c r="J32" s="1537"/>
      <c r="K32" s="1537"/>
      <c r="L32" s="1537"/>
      <c r="M32" s="1537"/>
      <c r="N32" s="1537"/>
      <c r="O32" s="1537"/>
      <c r="P32" s="1537"/>
      <c r="Q32" s="1537"/>
      <c r="R32" s="1537"/>
      <c r="S32" s="1537"/>
      <c r="T32" s="1537"/>
      <c r="U32" s="1537"/>
      <c r="V32" s="1537"/>
      <c r="W32" s="1537"/>
      <c r="X32" s="1537"/>
      <c r="Y32" s="1537"/>
      <c r="Z32" s="1537"/>
      <c r="AA32" s="1537"/>
      <c r="AB32" s="1537"/>
      <c r="AC32" s="1537"/>
      <c r="AD32" s="1537"/>
      <c r="AE32" s="1537"/>
      <c r="AF32" s="1537"/>
      <c r="AG32" s="1537"/>
      <c r="AH32" s="1537"/>
      <c r="AI32" s="1537"/>
      <c r="AJ32" s="1537"/>
      <c r="AK32" s="1537"/>
      <c r="AL32" s="1537"/>
      <c r="AM32" s="1537"/>
      <c r="AN32" s="1537"/>
      <c r="AO32" s="1537"/>
      <c r="AP32" s="1537"/>
      <c r="AQ32" s="1537"/>
      <c r="AR32" s="1537"/>
      <c r="AS32" s="1537"/>
      <c r="AT32" s="1537"/>
      <c r="AU32" s="1537"/>
      <c r="AV32" s="1537"/>
      <c r="AW32" s="1537"/>
      <c r="AX32" s="1537"/>
      <c r="AY32" s="1537"/>
      <c r="AZ32" s="1537"/>
      <c r="BA32" s="1537"/>
      <c r="BB32" s="1537"/>
      <c r="BC32" s="1537"/>
      <c r="BD32" s="1537"/>
      <c r="BE32" s="1537"/>
      <c r="BF32" s="1537"/>
      <c r="BG32" s="1537"/>
      <c r="BH32" s="1537"/>
      <c r="BI32" s="1537"/>
      <c r="BJ32" s="1537"/>
      <c r="BK32" s="1537"/>
      <c r="BL32" s="1537"/>
      <c r="BM32" s="1537"/>
      <c r="BN32" s="1537"/>
      <c r="BO32" s="1537"/>
      <c r="BP32" s="1537"/>
      <c r="BQ32" s="1537"/>
      <c r="BR32" s="1537"/>
      <c r="BS32" s="1537"/>
      <c r="BT32" s="1537"/>
      <c r="BU32" s="1537"/>
      <c r="BV32" s="1537"/>
      <c r="BW32" s="1537"/>
      <c r="BX32" s="1537"/>
      <c r="BY32" s="1537"/>
      <c r="BZ32" s="1537"/>
      <c r="CA32" s="1537"/>
      <c r="CB32" s="1537"/>
      <c r="CC32" s="1537"/>
      <c r="CD32" s="1537"/>
      <c r="CE32" s="1537"/>
      <c r="CF32" s="1537"/>
      <c r="CG32" s="1537"/>
      <c r="CH32" s="1537"/>
      <c r="CI32" s="1537"/>
      <c r="CJ32" s="1537"/>
      <c r="CK32" s="1537"/>
      <c r="CL32" s="1537"/>
      <c r="CM32" s="1537"/>
      <c r="CN32" s="1537"/>
      <c r="CO32" s="1537"/>
      <c r="CP32" s="1537"/>
      <c r="CQ32" s="1537"/>
      <c r="CR32" s="1537"/>
      <c r="CS32" s="1537"/>
      <c r="CT32" s="1537"/>
      <c r="CU32" s="1537"/>
      <c r="CV32" s="1537"/>
      <c r="CW32" s="1537"/>
      <c r="CX32" s="1537"/>
      <c r="CY32" s="1537"/>
      <c r="CZ32" s="1537"/>
      <c r="DA32" s="1537"/>
      <c r="DB32" s="1537"/>
      <c r="DC32" s="1537"/>
      <c r="DD32" s="1537"/>
      <c r="DE32" s="1537"/>
      <c r="DF32" s="1537"/>
      <c r="DG32" s="1537"/>
      <c r="DH32" s="1537"/>
      <c r="DI32" s="1537"/>
      <c r="DJ32" s="1537"/>
      <c r="DK32" s="1537"/>
      <c r="DL32" s="1537"/>
      <c r="DM32" s="1537"/>
      <c r="DN32" s="1537"/>
      <c r="DO32" s="1537"/>
      <c r="DP32" s="1537"/>
      <c r="DQ32" s="1537"/>
      <c r="DR32" s="1537"/>
      <c r="DS32" s="1537"/>
      <c r="DT32" s="1537"/>
      <c r="DU32" s="1537"/>
      <c r="DV32" s="1537"/>
      <c r="DW32" s="1537"/>
      <c r="DX32" s="1537"/>
      <c r="DY32" s="1537"/>
      <c r="DZ32" s="1537"/>
      <c r="EA32" s="1537"/>
      <c r="EB32" s="1537"/>
      <c r="EC32" s="1537"/>
      <c r="ED32" s="1537"/>
      <c r="EE32" s="1537"/>
      <c r="EF32" s="1537"/>
      <c r="EG32" s="1537"/>
      <c r="EH32" s="1537"/>
      <c r="EI32" s="1537"/>
      <c r="EJ32" s="1537"/>
      <c r="EK32" s="1537"/>
      <c r="EL32" s="1537"/>
      <c r="EM32" s="1537"/>
      <c r="EN32" s="1537"/>
      <c r="EO32" s="1537"/>
      <c r="EP32" s="1537"/>
      <c r="EQ32" s="1537"/>
      <c r="ER32" s="1537"/>
      <c r="ES32" s="1537"/>
      <c r="ET32" s="1537"/>
      <c r="EU32" s="1537"/>
      <c r="EV32" s="1537"/>
      <c r="EW32" s="1537"/>
      <c r="EX32" s="1537"/>
      <c r="EY32" s="1537"/>
      <c r="EZ32" s="1537"/>
      <c r="FA32" s="1537"/>
      <c r="FB32" s="1537"/>
      <c r="FC32" s="1537"/>
      <c r="FD32" s="1537"/>
      <c r="FE32" s="1537"/>
      <c r="FF32" s="1537"/>
      <c r="FG32" s="1537"/>
      <c r="FH32" s="1537"/>
      <c r="FI32" s="1537"/>
      <c r="FJ32" s="1537"/>
      <c r="FK32" s="1537"/>
      <c r="FL32" s="1537"/>
      <c r="FM32" s="1537"/>
      <c r="FN32" s="1537"/>
      <c r="FO32" s="1537"/>
      <c r="FP32" s="1537"/>
      <c r="FQ32" s="1537"/>
      <c r="FR32" s="1537"/>
      <c r="FS32" s="1537"/>
      <c r="FT32" s="1537"/>
      <c r="FU32" s="1537"/>
      <c r="FV32" s="1537"/>
      <c r="FW32" s="1537"/>
      <c r="FX32" s="1537"/>
      <c r="FY32" s="1537"/>
      <c r="FZ32" s="1537"/>
      <c r="GA32" s="1537"/>
      <c r="GB32" s="1537"/>
      <c r="GC32" s="1537"/>
      <c r="GD32" s="1537"/>
      <c r="GE32" s="1537"/>
      <c r="GF32" s="1537"/>
      <c r="GG32" s="1537"/>
      <c r="GH32" s="1537"/>
      <c r="GI32" s="1537"/>
      <c r="GJ32" s="1537"/>
      <c r="GK32" s="1537"/>
      <c r="GL32" s="1537"/>
      <c r="GM32" s="1537"/>
      <c r="GN32" s="1537"/>
      <c r="GO32" s="1537"/>
      <c r="GP32" s="1537"/>
      <c r="GQ32" s="1537"/>
      <c r="GR32" s="1537"/>
      <c r="GS32" s="1537"/>
      <c r="GT32" s="1537"/>
      <c r="GU32" s="1537"/>
      <c r="GV32" s="1537"/>
      <c r="GW32" s="1537"/>
      <c r="GX32" s="1537"/>
      <c r="GY32" s="1537"/>
      <c r="GZ32" s="1537"/>
      <c r="HA32" s="1537"/>
      <c r="HB32" s="1537"/>
      <c r="HC32" s="1537"/>
      <c r="HD32" s="1537"/>
      <c r="HE32" s="1537"/>
      <c r="HF32" s="1537"/>
      <c r="HG32" s="1537"/>
      <c r="HH32" s="1537"/>
      <c r="HI32" s="1537"/>
      <c r="HJ32" s="1537"/>
      <c r="HK32" s="1537"/>
      <c r="HL32" s="1537"/>
      <c r="HM32" s="1537"/>
      <c r="HN32" s="1537"/>
      <c r="HO32" s="1537"/>
      <c r="HP32" s="1537"/>
      <c r="HQ32" s="1537"/>
      <c r="HR32" s="1537"/>
      <c r="HS32" s="1537"/>
      <c r="HT32" s="1537"/>
      <c r="HU32" s="1537"/>
      <c r="HV32" s="1537"/>
      <c r="HW32" s="1537"/>
      <c r="HX32" s="1537"/>
      <c r="HY32" s="1537"/>
      <c r="HZ32" s="1537"/>
      <c r="IA32" s="1537"/>
      <c r="IB32" s="1537"/>
      <c r="IC32" s="1537"/>
      <c r="ID32" s="1537"/>
      <c r="IE32" s="1537"/>
      <c r="IF32" s="1537"/>
      <c r="IG32" s="1537"/>
      <c r="IH32" s="1537"/>
      <c r="II32" s="1537"/>
      <c r="IJ32" s="1537"/>
      <c r="IK32" s="1537"/>
      <c r="IL32" s="1537"/>
      <c r="IM32" s="1537"/>
      <c r="IN32" s="1537"/>
      <c r="IO32" s="1537"/>
      <c r="IP32" s="1537"/>
      <c r="IQ32" s="1537"/>
      <c r="IR32" s="1537"/>
      <c r="IS32" s="1537"/>
      <c r="IT32" s="1537"/>
      <c r="IU32" s="1537"/>
      <c r="IV32" s="1537"/>
    </row>
    <row r="33" spans="1:256">
      <c r="A33" s="1541"/>
      <c r="B33" s="1551"/>
      <c r="C33" s="1551"/>
      <c r="D33" s="1551"/>
      <c r="E33" s="1551"/>
      <c r="F33" s="1551"/>
      <c r="G33" s="1551"/>
      <c r="H33" s="1551"/>
      <c r="I33" s="1551"/>
      <c r="J33" s="1537"/>
      <c r="K33" s="1537"/>
      <c r="L33" s="1537"/>
      <c r="M33" s="1537"/>
      <c r="N33" s="1537"/>
      <c r="O33" s="1537"/>
      <c r="P33" s="1537"/>
      <c r="Q33" s="1537"/>
      <c r="R33" s="1537"/>
      <c r="S33" s="1537"/>
      <c r="T33" s="1537"/>
      <c r="U33" s="1537"/>
      <c r="V33" s="1537"/>
      <c r="W33" s="1537"/>
      <c r="X33" s="1537"/>
      <c r="Y33" s="1537"/>
      <c r="Z33" s="1537"/>
      <c r="AA33" s="1537"/>
      <c r="AB33" s="1537"/>
      <c r="AC33" s="1537"/>
      <c r="AD33" s="1537"/>
      <c r="AE33" s="1537"/>
      <c r="AF33" s="1537"/>
      <c r="AG33" s="1537"/>
      <c r="AH33" s="1537"/>
      <c r="AI33" s="1537"/>
      <c r="AJ33" s="1537"/>
      <c r="AK33" s="1537"/>
      <c r="AL33" s="1537"/>
      <c r="AM33" s="1537"/>
      <c r="AN33" s="1537"/>
      <c r="AO33" s="1537"/>
      <c r="AP33" s="1537"/>
      <c r="AQ33" s="1537"/>
      <c r="AR33" s="1537"/>
      <c r="AS33" s="1537"/>
      <c r="AT33" s="1537"/>
      <c r="AU33" s="1537"/>
      <c r="AV33" s="1537"/>
      <c r="AW33" s="1537"/>
      <c r="AX33" s="1537"/>
      <c r="AY33" s="1537"/>
      <c r="AZ33" s="1537"/>
      <c r="BA33" s="1537"/>
      <c r="BB33" s="1537"/>
      <c r="BC33" s="1537"/>
      <c r="BD33" s="1537"/>
      <c r="BE33" s="1537"/>
      <c r="BF33" s="1537"/>
      <c r="BG33" s="1537"/>
      <c r="BH33" s="1537"/>
      <c r="BI33" s="1537"/>
      <c r="BJ33" s="1537"/>
      <c r="BK33" s="1537"/>
      <c r="BL33" s="1537"/>
      <c r="BM33" s="1537"/>
      <c r="BN33" s="1537"/>
      <c r="BO33" s="1537"/>
      <c r="BP33" s="1537"/>
      <c r="BQ33" s="1537"/>
      <c r="BR33" s="1537"/>
      <c r="BS33" s="1537"/>
      <c r="BT33" s="1537"/>
      <c r="BU33" s="1537"/>
      <c r="BV33" s="1537"/>
      <c r="BW33" s="1537"/>
      <c r="BX33" s="1537"/>
      <c r="BY33" s="1537"/>
      <c r="BZ33" s="1537"/>
      <c r="CA33" s="1537"/>
      <c r="CB33" s="1537"/>
      <c r="CC33" s="1537"/>
      <c r="CD33" s="1537"/>
      <c r="CE33" s="1537"/>
      <c r="CF33" s="1537"/>
      <c r="CG33" s="1537"/>
      <c r="CH33" s="1537"/>
      <c r="CI33" s="1537"/>
      <c r="CJ33" s="1537"/>
      <c r="CK33" s="1537"/>
      <c r="CL33" s="1537"/>
      <c r="CM33" s="1537"/>
      <c r="CN33" s="1537"/>
      <c r="CO33" s="1537"/>
      <c r="CP33" s="1537"/>
      <c r="CQ33" s="1537"/>
      <c r="CR33" s="1537"/>
      <c r="CS33" s="1537"/>
      <c r="CT33" s="1537"/>
      <c r="CU33" s="1537"/>
      <c r="CV33" s="1537"/>
      <c r="CW33" s="1537"/>
      <c r="CX33" s="1537"/>
      <c r="CY33" s="1537"/>
      <c r="CZ33" s="1537"/>
      <c r="DA33" s="1537"/>
      <c r="DB33" s="1537"/>
      <c r="DC33" s="1537"/>
      <c r="DD33" s="1537"/>
      <c r="DE33" s="1537"/>
      <c r="DF33" s="1537"/>
      <c r="DG33" s="1537"/>
      <c r="DH33" s="1537"/>
      <c r="DI33" s="1537"/>
      <c r="DJ33" s="1537"/>
      <c r="DK33" s="1537"/>
      <c r="DL33" s="1537"/>
      <c r="DM33" s="1537"/>
      <c r="DN33" s="1537"/>
      <c r="DO33" s="1537"/>
      <c r="DP33" s="1537"/>
      <c r="DQ33" s="1537"/>
      <c r="DR33" s="1537"/>
      <c r="DS33" s="1537"/>
      <c r="DT33" s="1537"/>
      <c r="DU33" s="1537"/>
      <c r="DV33" s="1537"/>
      <c r="DW33" s="1537"/>
      <c r="DX33" s="1537"/>
      <c r="DY33" s="1537"/>
      <c r="DZ33" s="1537"/>
      <c r="EA33" s="1537"/>
      <c r="EB33" s="1537"/>
      <c r="EC33" s="1537"/>
      <c r="ED33" s="1537"/>
      <c r="EE33" s="1537"/>
      <c r="EF33" s="1537"/>
      <c r="EG33" s="1537"/>
      <c r="EH33" s="1537"/>
      <c r="EI33" s="1537"/>
      <c r="EJ33" s="1537"/>
      <c r="EK33" s="1537"/>
      <c r="EL33" s="1537"/>
      <c r="EM33" s="1537"/>
      <c r="EN33" s="1537"/>
      <c r="EO33" s="1537"/>
      <c r="EP33" s="1537"/>
      <c r="EQ33" s="1537"/>
      <c r="ER33" s="1537"/>
      <c r="ES33" s="1537"/>
      <c r="ET33" s="1537"/>
      <c r="EU33" s="1537"/>
      <c r="EV33" s="1537"/>
      <c r="EW33" s="1537"/>
      <c r="EX33" s="1537"/>
      <c r="EY33" s="1537"/>
      <c r="EZ33" s="1537"/>
      <c r="FA33" s="1537"/>
      <c r="FB33" s="1537"/>
      <c r="FC33" s="1537"/>
      <c r="FD33" s="1537"/>
      <c r="FE33" s="1537"/>
      <c r="FF33" s="1537"/>
      <c r="FG33" s="1537"/>
      <c r="FH33" s="1537"/>
      <c r="FI33" s="1537"/>
      <c r="FJ33" s="1537"/>
      <c r="FK33" s="1537"/>
      <c r="FL33" s="1537"/>
      <c r="FM33" s="1537"/>
      <c r="FN33" s="1537"/>
      <c r="FO33" s="1537"/>
      <c r="FP33" s="1537"/>
      <c r="FQ33" s="1537"/>
      <c r="FR33" s="1537"/>
      <c r="FS33" s="1537"/>
      <c r="FT33" s="1537"/>
      <c r="FU33" s="1537"/>
      <c r="FV33" s="1537"/>
      <c r="FW33" s="1537"/>
      <c r="FX33" s="1537"/>
      <c r="FY33" s="1537"/>
      <c r="FZ33" s="1537"/>
      <c r="GA33" s="1537"/>
      <c r="GB33" s="1537"/>
      <c r="GC33" s="1537"/>
      <c r="GD33" s="1537"/>
      <c r="GE33" s="1537"/>
      <c r="GF33" s="1537"/>
      <c r="GG33" s="1537"/>
      <c r="GH33" s="1537"/>
      <c r="GI33" s="1537"/>
      <c r="GJ33" s="1537"/>
      <c r="GK33" s="1537"/>
      <c r="GL33" s="1537"/>
      <c r="GM33" s="1537"/>
      <c r="GN33" s="1537"/>
      <c r="GO33" s="1537"/>
      <c r="GP33" s="1537"/>
      <c r="GQ33" s="1537"/>
      <c r="GR33" s="1537"/>
      <c r="GS33" s="1537"/>
      <c r="GT33" s="1537"/>
      <c r="GU33" s="1537"/>
      <c r="GV33" s="1537"/>
      <c r="GW33" s="1537"/>
      <c r="GX33" s="1537"/>
      <c r="GY33" s="1537"/>
      <c r="GZ33" s="1537"/>
      <c r="HA33" s="1537"/>
      <c r="HB33" s="1537"/>
      <c r="HC33" s="1537"/>
      <c r="HD33" s="1537"/>
      <c r="HE33" s="1537"/>
      <c r="HF33" s="1537"/>
      <c r="HG33" s="1537"/>
      <c r="HH33" s="1537"/>
      <c r="HI33" s="1537"/>
      <c r="HJ33" s="1537"/>
      <c r="HK33" s="1537"/>
      <c r="HL33" s="1537"/>
      <c r="HM33" s="1537"/>
      <c r="HN33" s="1537"/>
      <c r="HO33" s="1537"/>
      <c r="HP33" s="1537"/>
      <c r="HQ33" s="1537"/>
      <c r="HR33" s="1537"/>
      <c r="HS33" s="1537"/>
      <c r="HT33" s="1537"/>
      <c r="HU33" s="1537"/>
      <c r="HV33" s="1537"/>
      <c r="HW33" s="1537"/>
      <c r="HX33" s="1537"/>
      <c r="HY33" s="1537"/>
      <c r="HZ33" s="1537"/>
      <c r="IA33" s="1537"/>
      <c r="IB33" s="1537"/>
      <c r="IC33" s="1537"/>
      <c r="ID33" s="1537"/>
      <c r="IE33" s="1537"/>
      <c r="IF33" s="1537"/>
      <c r="IG33" s="1537"/>
      <c r="IH33" s="1537"/>
      <c r="II33" s="1537"/>
      <c r="IJ33" s="1537"/>
      <c r="IK33" s="1537"/>
      <c r="IL33" s="1537"/>
      <c r="IM33" s="1537"/>
      <c r="IN33" s="1537"/>
      <c r="IO33" s="1537"/>
      <c r="IP33" s="1537"/>
      <c r="IQ33" s="1537"/>
      <c r="IR33" s="1537"/>
      <c r="IS33" s="1537"/>
      <c r="IT33" s="1537"/>
      <c r="IU33" s="1537"/>
      <c r="IV33" s="1537"/>
    </row>
    <row r="34" spans="1:256" ht="13" thickBot="1">
      <c r="A34" s="1541">
        <f>+A32+1</f>
        <v>19</v>
      </c>
      <c r="B34" s="1552" t="str">
        <f>"Proration Adjustment - Line "&amp;A32&amp;" Col. "&amp;I16&amp;" less Col. "&amp;D16</f>
        <v>Proration Adjustment - Line 18 Col. (H) less Col. (C )</v>
      </c>
      <c r="C34" s="1552"/>
      <c r="D34" s="1552"/>
      <c r="E34" s="1552"/>
      <c r="F34" s="1552"/>
      <c r="G34" s="1552"/>
      <c r="H34" s="1552"/>
      <c r="I34" s="1553">
        <f>+I32-D32</f>
        <v>0</v>
      </c>
      <c r="J34" s="1537"/>
      <c r="K34" s="1537"/>
      <c r="L34" s="1537"/>
      <c r="M34" s="1537"/>
      <c r="N34" s="1537"/>
      <c r="O34" s="1537"/>
      <c r="P34" s="1537"/>
      <c r="Q34" s="1537"/>
      <c r="R34" s="1537"/>
      <c r="S34" s="1537"/>
      <c r="T34" s="1537"/>
      <c r="U34" s="1537"/>
      <c r="V34" s="1537"/>
      <c r="W34" s="1537"/>
      <c r="X34" s="1537"/>
      <c r="Y34" s="1537"/>
      <c r="Z34" s="1537"/>
      <c r="AA34" s="1537"/>
      <c r="AB34" s="1537"/>
      <c r="AC34" s="1537"/>
      <c r="AD34" s="1537"/>
      <c r="AE34" s="1537"/>
      <c r="AF34" s="1537"/>
      <c r="AG34" s="1537"/>
      <c r="AH34" s="1537"/>
      <c r="AI34" s="1537"/>
      <c r="AJ34" s="1537"/>
      <c r="AK34" s="1537"/>
      <c r="AL34" s="1537"/>
      <c r="AM34" s="1537"/>
      <c r="AN34" s="1537"/>
      <c r="AO34" s="1537"/>
      <c r="AP34" s="1537"/>
      <c r="AQ34" s="1537"/>
      <c r="AR34" s="1537"/>
      <c r="AS34" s="1537"/>
      <c r="AT34" s="1537"/>
      <c r="AU34" s="1537"/>
      <c r="AV34" s="1537"/>
      <c r="AW34" s="1537"/>
      <c r="AX34" s="1537"/>
      <c r="AY34" s="1537"/>
      <c r="AZ34" s="1537"/>
      <c r="BA34" s="1537"/>
      <c r="BB34" s="1537"/>
      <c r="BC34" s="1537"/>
      <c r="BD34" s="1537"/>
      <c r="BE34" s="1537"/>
      <c r="BF34" s="1537"/>
      <c r="BG34" s="1537"/>
      <c r="BH34" s="1537"/>
      <c r="BI34" s="1537"/>
      <c r="BJ34" s="1537"/>
      <c r="BK34" s="1537"/>
      <c r="BL34" s="1537"/>
      <c r="BM34" s="1537"/>
      <c r="BN34" s="1537"/>
      <c r="BO34" s="1537"/>
      <c r="BP34" s="1537"/>
      <c r="BQ34" s="1537"/>
      <c r="BR34" s="1537"/>
      <c r="BS34" s="1537"/>
      <c r="BT34" s="1537"/>
      <c r="BU34" s="1537"/>
      <c r="BV34" s="1537"/>
      <c r="BW34" s="1537"/>
      <c r="BX34" s="1537"/>
      <c r="BY34" s="1537"/>
      <c r="BZ34" s="1537"/>
      <c r="CA34" s="1537"/>
      <c r="CB34" s="1537"/>
      <c r="CC34" s="1537"/>
      <c r="CD34" s="1537"/>
      <c r="CE34" s="1537"/>
      <c r="CF34" s="1537"/>
      <c r="CG34" s="1537"/>
      <c r="CH34" s="1537"/>
      <c r="CI34" s="1537"/>
      <c r="CJ34" s="1537"/>
      <c r="CK34" s="1537"/>
      <c r="CL34" s="1537"/>
      <c r="CM34" s="1537"/>
      <c r="CN34" s="1537"/>
      <c r="CO34" s="1537"/>
      <c r="CP34" s="1537"/>
      <c r="CQ34" s="1537"/>
      <c r="CR34" s="1537"/>
      <c r="CS34" s="1537"/>
      <c r="CT34" s="1537"/>
      <c r="CU34" s="1537"/>
      <c r="CV34" s="1537"/>
      <c r="CW34" s="1537"/>
      <c r="CX34" s="1537"/>
      <c r="CY34" s="1537"/>
      <c r="CZ34" s="1537"/>
      <c r="DA34" s="1537"/>
      <c r="DB34" s="1537"/>
      <c r="DC34" s="1537"/>
      <c r="DD34" s="1537"/>
      <c r="DE34" s="1537"/>
      <c r="DF34" s="1537"/>
      <c r="DG34" s="1537"/>
      <c r="DH34" s="1537"/>
      <c r="DI34" s="1537"/>
      <c r="DJ34" s="1537"/>
      <c r="DK34" s="1537"/>
      <c r="DL34" s="1537"/>
      <c r="DM34" s="1537"/>
      <c r="DN34" s="1537"/>
      <c r="DO34" s="1537"/>
      <c r="DP34" s="1537"/>
      <c r="DQ34" s="1537"/>
      <c r="DR34" s="1537"/>
      <c r="DS34" s="1537"/>
      <c r="DT34" s="1537"/>
      <c r="DU34" s="1537"/>
      <c r="DV34" s="1537"/>
      <c r="DW34" s="1537"/>
      <c r="DX34" s="1537"/>
      <c r="DY34" s="1537"/>
      <c r="DZ34" s="1537"/>
      <c r="EA34" s="1537"/>
      <c r="EB34" s="1537"/>
      <c r="EC34" s="1537"/>
      <c r="ED34" s="1537"/>
      <c r="EE34" s="1537"/>
      <c r="EF34" s="1537"/>
      <c r="EG34" s="1537"/>
      <c r="EH34" s="1537"/>
      <c r="EI34" s="1537"/>
      <c r="EJ34" s="1537"/>
      <c r="EK34" s="1537"/>
      <c r="EL34" s="1537"/>
      <c r="EM34" s="1537"/>
      <c r="EN34" s="1537"/>
      <c r="EO34" s="1537"/>
      <c r="EP34" s="1537"/>
      <c r="EQ34" s="1537"/>
      <c r="ER34" s="1537"/>
      <c r="ES34" s="1537"/>
      <c r="ET34" s="1537"/>
      <c r="EU34" s="1537"/>
      <c r="EV34" s="1537"/>
      <c r="EW34" s="1537"/>
      <c r="EX34" s="1537"/>
      <c r="EY34" s="1537"/>
      <c r="EZ34" s="1537"/>
      <c r="FA34" s="1537"/>
      <c r="FB34" s="1537"/>
      <c r="FC34" s="1537"/>
      <c r="FD34" s="1537"/>
      <c r="FE34" s="1537"/>
      <c r="FF34" s="1537"/>
      <c r="FG34" s="1537"/>
      <c r="FH34" s="1537"/>
      <c r="FI34" s="1537"/>
      <c r="FJ34" s="1537"/>
      <c r="FK34" s="1537"/>
      <c r="FL34" s="1537"/>
      <c r="FM34" s="1537"/>
      <c r="FN34" s="1537"/>
      <c r="FO34" s="1537"/>
      <c r="FP34" s="1537"/>
      <c r="FQ34" s="1537"/>
      <c r="FR34" s="1537"/>
      <c r="FS34" s="1537"/>
      <c r="FT34" s="1537"/>
      <c r="FU34" s="1537"/>
      <c r="FV34" s="1537"/>
      <c r="FW34" s="1537"/>
      <c r="FX34" s="1537"/>
      <c r="FY34" s="1537"/>
      <c r="FZ34" s="1537"/>
      <c r="GA34" s="1537"/>
      <c r="GB34" s="1537"/>
      <c r="GC34" s="1537"/>
      <c r="GD34" s="1537"/>
      <c r="GE34" s="1537"/>
      <c r="GF34" s="1537"/>
      <c r="GG34" s="1537"/>
      <c r="GH34" s="1537"/>
      <c r="GI34" s="1537"/>
      <c r="GJ34" s="1537"/>
      <c r="GK34" s="1537"/>
      <c r="GL34" s="1537"/>
      <c r="GM34" s="1537"/>
      <c r="GN34" s="1537"/>
      <c r="GO34" s="1537"/>
      <c r="GP34" s="1537"/>
      <c r="GQ34" s="1537"/>
      <c r="GR34" s="1537"/>
      <c r="GS34" s="1537"/>
      <c r="GT34" s="1537"/>
      <c r="GU34" s="1537"/>
      <c r="GV34" s="1537"/>
      <c r="GW34" s="1537"/>
      <c r="GX34" s="1537"/>
      <c r="GY34" s="1537"/>
      <c r="GZ34" s="1537"/>
      <c r="HA34" s="1537"/>
      <c r="HB34" s="1537"/>
      <c r="HC34" s="1537"/>
      <c r="HD34" s="1537"/>
      <c r="HE34" s="1537"/>
      <c r="HF34" s="1537"/>
      <c r="HG34" s="1537"/>
      <c r="HH34" s="1537"/>
      <c r="HI34" s="1537"/>
      <c r="HJ34" s="1537"/>
      <c r="HK34" s="1537"/>
      <c r="HL34" s="1537"/>
      <c r="HM34" s="1537"/>
      <c r="HN34" s="1537"/>
      <c r="HO34" s="1537"/>
      <c r="HP34" s="1537"/>
      <c r="HQ34" s="1537"/>
      <c r="HR34" s="1537"/>
      <c r="HS34" s="1537"/>
      <c r="HT34" s="1537"/>
      <c r="HU34" s="1537"/>
      <c r="HV34" s="1537"/>
      <c r="HW34" s="1537"/>
      <c r="HX34" s="1537"/>
      <c r="HY34" s="1537"/>
      <c r="HZ34" s="1537"/>
      <c r="IA34" s="1537"/>
      <c r="IB34" s="1537"/>
      <c r="IC34" s="1537"/>
      <c r="ID34" s="1537"/>
      <c r="IE34" s="1537"/>
      <c r="IF34" s="1537"/>
      <c r="IG34" s="1537"/>
      <c r="IH34" s="1537"/>
      <c r="II34" s="1537"/>
      <c r="IJ34" s="1537"/>
      <c r="IK34" s="1537"/>
      <c r="IL34" s="1537"/>
      <c r="IM34" s="1537"/>
      <c r="IN34" s="1537"/>
      <c r="IO34" s="1537"/>
      <c r="IP34" s="1537"/>
      <c r="IQ34" s="1537"/>
      <c r="IR34" s="1537"/>
      <c r="IS34" s="1537"/>
      <c r="IT34" s="1537"/>
      <c r="IU34" s="1537"/>
      <c r="IV34" s="1537"/>
    </row>
    <row r="35" spans="1:256" ht="13" thickTop="1">
      <c r="A35" s="1537"/>
      <c r="B35" s="1551"/>
      <c r="C35" s="1551"/>
      <c r="D35" s="1551"/>
      <c r="E35" s="1551"/>
      <c r="F35" s="1551"/>
      <c r="G35" s="1551"/>
      <c r="H35" s="1551"/>
      <c r="I35" s="1551"/>
      <c r="J35" s="1537"/>
      <c r="K35" s="1537"/>
      <c r="L35" s="1537"/>
      <c r="M35" s="1537"/>
      <c r="N35" s="1537"/>
      <c r="O35" s="1537"/>
      <c r="P35" s="1537"/>
      <c r="Q35" s="1537"/>
      <c r="R35" s="1537"/>
      <c r="S35" s="1537"/>
      <c r="T35" s="1537"/>
      <c r="U35" s="1537"/>
      <c r="V35" s="1537"/>
      <c r="W35" s="1537"/>
      <c r="X35" s="1537"/>
      <c r="Y35" s="1537"/>
      <c r="Z35" s="1537"/>
      <c r="AA35" s="1537"/>
      <c r="AB35" s="1537"/>
      <c r="AC35" s="1537"/>
      <c r="AD35" s="1537"/>
      <c r="AE35" s="1537"/>
      <c r="AF35" s="1537"/>
      <c r="AG35" s="1537"/>
      <c r="AH35" s="1537"/>
      <c r="AI35" s="1537"/>
      <c r="AJ35" s="1537"/>
      <c r="AK35" s="1537"/>
      <c r="AL35" s="1537"/>
      <c r="AM35" s="1537"/>
      <c r="AN35" s="1537"/>
      <c r="AO35" s="1537"/>
      <c r="AP35" s="1537"/>
      <c r="AQ35" s="1537"/>
      <c r="AR35" s="1537"/>
      <c r="AS35" s="1537"/>
      <c r="AT35" s="1537"/>
      <c r="AU35" s="1537"/>
      <c r="AV35" s="1537"/>
      <c r="AW35" s="1537"/>
      <c r="AX35" s="1537"/>
      <c r="AY35" s="1537"/>
      <c r="AZ35" s="1537"/>
      <c r="BA35" s="1537"/>
      <c r="BB35" s="1537"/>
      <c r="BC35" s="1537"/>
      <c r="BD35" s="1537"/>
      <c r="BE35" s="1537"/>
      <c r="BF35" s="1537"/>
      <c r="BG35" s="1537"/>
      <c r="BH35" s="1537"/>
      <c r="BI35" s="1537"/>
      <c r="BJ35" s="1537"/>
      <c r="BK35" s="1537"/>
      <c r="BL35" s="1537"/>
      <c r="BM35" s="1537"/>
      <c r="BN35" s="1537"/>
      <c r="BO35" s="1537"/>
      <c r="BP35" s="1537"/>
      <c r="BQ35" s="1537"/>
      <c r="BR35" s="1537"/>
      <c r="BS35" s="1537"/>
      <c r="BT35" s="1537"/>
      <c r="BU35" s="1537"/>
      <c r="BV35" s="1537"/>
      <c r="BW35" s="1537"/>
      <c r="BX35" s="1537"/>
      <c r="BY35" s="1537"/>
      <c r="BZ35" s="1537"/>
      <c r="CA35" s="1537"/>
      <c r="CB35" s="1537"/>
      <c r="CC35" s="1537"/>
      <c r="CD35" s="1537"/>
      <c r="CE35" s="1537"/>
      <c r="CF35" s="1537"/>
      <c r="CG35" s="1537"/>
      <c r="CH35" s="1537"/>
      <c r="CI35" s="1537"/>
      <c r="CJ35" s="1537"/>
      <c r="CK35" s="1537"/>
      <c r="CL35" s="1537"/>
      <c r="CM35" s="1537"/>
      <c r="CN35" s="1537"/>
      <c r="CO35" s="1537"/>
      <c r="CP35" s="1537"/>
      <c r="CQ35" s="1537"/>
      <c r="CR35" s="1537"/>
      <c r="CS35" s="1537"/>
      <c r="CT35" s="1537"/>
      <c r="CU35" s="1537"/>
      <c r="CV35" s="1537"/>
      <c r="CW35" s="1537"/>
      <c r="CX35" s="1537"/>
      <c r="CY35" s="1537"/>
      <c r="CZ35" s="1537"/>
      <c r="DA35" s="1537"/>
      <c r="DB35" s="1537"/>
      <c r="DC35" s="1537"/>
      <c r="DD35" s="1537"/>
      <c r="DE35" s="1537"/>
      <c r="DF35" s="1537"/>
      <c r="DG35" s="1537"/>
      <c r="DH35" s="1537"/>
      <c r="DI35" s="1537"/>
      <c r="DJ35" s="1537"/>
      <c r="DK35" s="1537"/>
      <c r="DL35" s="1537"/>
      <c r="DM35" s="1537"/>
      <c r="DN35" s="1537"/>
      <c r="DO35" s="1537"/>
      <c r="DP35" s="1537"/>
      <c r="DQ35" s="1537"/>
      <c r="DR35" s="1537"/>
      <c r="DS35" s="1537"/>
      <c r="DT35" s="1537"/>
      <c r="DU35" s="1537"/>
      <c r="DV35" s="1537"/>
      <c r="DW35" s="1537"/>
      <c r="DX35" s="1537"/>
      <c r="DY35" s="1537"/>
      <c r="DZ35" s="1537"/>
      <c r="EA35" s="1537"/>
      <c r="EB35" s="1537"/>
      <c r="EC35" s="1537"/>
      <c r="ED35" s="1537"/>
      <c r="EE35" s="1537"/>
      <c r="EF35" s="1537"/>
      <c r="EG35" s="1537"/>
      <c r="EH35" s="1537"/>
      <c r="EI35" s="1537"/>
      <c r="EJ35" s="1537"/>
      <c r="EK35" s="1537"/>
      <c r="EL35" s="1537"/>
      <c r="EM35" s="1537"/>
      <c r="EN35" s="1537"/>
      <c r="EO35" s="1537"/>
      <c r="EP35" s="1537"/>
      <c r="EQ35" s="1537"/>
      <c r="ER35" s="1537"/>
      <c r="ES35" s="1537"/>
      <c r="ET35" s="1537"/>
      <c r="EU35" s="1537"/>
      <c r="EV35" s="1537"/>
      <c r="EW35" s="1537"/>
      <c r="EX35" s="1537"/>
      <c r="EY35" s="1537"/>
      <c r="EZ35" s="1537"/>
      <c r="FA35" s="1537"/>
      <c r="FB35" s="1537"/>
      <c r="FC35" s="1537"/>
      <c r="FD35" s="1537"/>
      <c r="FE35" s="1537"/>
      <c r="FF35" s="1537"/>
      <c r="FG35" s="1537"/>
      <c r="FH35" s="1537"/>
      <c r="FI35" s="1537"/>
      <c r="FJ35" s="1537"/>
      <c r="FK35" s="1537"/>
      <c r="FL35" s="1537"/>
      <c r="FM35" s="1537"/>
      <c r="FN35" s="1537"/>
      <c r="FO35" s="1537"/>
      <c r="FP35" s="1537"/>
      <c r="FQ35" s="1537"/>
      <c r="FR35" s="1537"/>
      <c r="FS35" s="1537"/>
      <c r="FT35" s="1537"/>
      <c r="FU35" s="1537"/>
      <c r="FV35" s="1537"/>
      <c r="FW35" s="1537"/>
      <c r="FX35" s="1537"/>
      <c r="FY35" s="1537"/>
      <c r="FZ35" s="1537"/>
      <c r="GA35" s="1537"/>
      <c r="GB35" s="1537"/>
      <c r="GC35" s="1537"/>
      <c r="GD35" s="1537"/>
      <c r="GE35" s="1537"/>
      <c r="GF35" s="1537"/>
      <c r="GG35" s="1537"/>
      <c r="GH35" s="1537"/>
      <c r="GI35" s="1537"/>
      <c r="GJ35" s="1537"/>
      <c r="GK35" s="1537"/>
      <c r="GL35" s="1537"/>
      <c r="GM35" s="1537"/>
      <c r="GN35" s="1537"/>
      <c r="GO35" s="1537"/>
      <c r="GP35" s="1537"/>
      <c r="GQ35" s="1537"/>
      <c r="GR35" s="1537"/>
      <c r="GS35" s="1537"/>
      <c r="GT35" s="1537"/>
      <c r="GU35" s="1537"/>
      <c r="GV35" s="1537"/>
      <c r="GW35" s="1537"/>
      <c r="GX35" s="1537"/>
      <c r="GY35" s="1537"/>
      <c r="GZ35" s="1537"/>
      <c r="HA35" s="1537"/>
      <c r="HB35" s="1537"/>
      <c r="HC35" s="1537"/>
      <c r="HD35" s="1537"/>
      <c r="HE35" s="1537"/>
      <c r="HF35" s="1537"/>
      <c r="HG35" s="1537"/>
      <c r="HH35" s="1537"/>
      <c r="HI35" s="1537"/>
      <c r="HJ35" s="1537"/>
      <c r="HK35" s="1537"/>
      <c r="HL35" s="1537"/>
      <c r="HM35" s="1537"/>
      <c r="HN35" s="1537"/>
      <c r="HO35" s="1537"/>
      <c r="HP35" s="1537"/>
      <c r="HQ35" s="1537"/>
      <c r="HR35" s="1537"/>
      <c r="HS35" s="1537"/>
      <c r="HT35" s="1537"/>
      <c r="HU35" s="1537"/>
      <c r="HV35" s="1537"/>
      <c r="HW35" s="1537"/>
      <c r="HX35" s="1537"/>
      <c r="HY35" s="1537"/>
      <c r="HZ35" s="1537"/>
      <c r="IA35" s="1537"/>
      <c r="IB35" s="1537"/>
      <c r="IC35" s="1537"/>
      <c r="ID35" s="1537"/>
      <c r="IE35" s="1537"/>
      <c r="IF35" s="1537"/>
      <c r="IG35" s="1537"/>
      <c r="IH35" s="1537"/>
      <c r="II35" s="1537"/>
      <c r="IJ35" s="1537"/>
      <c r="IK35" s="1537"/>
      <c r="IL35" s="1537"/>
      <c r="IM35" s="1537"/>
      <c r="IN35" s="1537"/>
      <c r="IO35" s="1537"/>
      <c r="IP35" s="1537"/>
      <c r="IQ35" s="1537"/>
      <c r="IR35" s="1537"/>
      <c r="IS35" s="1537"/>
      <c r="IT35" s="1537"/>
      <c r="IU35" s="1537"/>
      <c r="IV35" s="1537"/>
    </row>
    <row r="36" spans="1:256">
      <c r="A36" s="1540" t="s">
        <v>613</v>
      </c>
      <c r="B36" s="1539"/>
      <c r="C36" s="1537"/>
      <c r="D36" s="1539"/>
      <c r="E36" s="2092" t="s">
        <v>344</v>
      </c>
      <c r="F36" s="2092"/>
      <c r="G36" s="1539"/>
      <c r="H36" s="1539"/>
      <c r="I36" s="1539"/>
      <c r="J36" s="1537"/>
      <c r="K36" s="1537"/>
      <c r="L36" s="1537"/>
      <c r="M36" s="1537"/>
      <c r="N36" s="1537"/>
      <c r="O36" s="1537"/>
      <c r="P36" s="1537"/>
      <c r="Q36" s="1537"/>
      <c r="R36" s="1537"/>
      <c r="S36" s="1537"/>
      <c r="T36" s="1537"/>
      <c r="U36" s="1537"/>
      <c r="V36" s="1537"/>
      <c r="W36" s="1537"/>
      <c r="X36" s="1537"/>
      <c r="Y36" s="1537"/>
      <c r="Z36" s="1537"/>
      <c r="AA36" s="1537"/>
      <c r="AB36" s="1537"/>
      <c r="AC36" s="1537"/>
      <c r="AD36" s="1537"/>
      <c r="AE36" s="1537"/>
      <c r="AF36" s="1537"/>
      <c r="AG36" s="1537"/>
      <c r="AH36" s="1537"/>
      <c r="AI36" s="1537"/>
      <c r="AJ36" s="1537"/>
      <c r="AK36" s="1537"/>
      <c r="AL36" s="1537"/>
      <c r="AM36" s="1537"/>
      <c r="AN36" s="1537"/>
      <c r="AO36" s="1537"/>
      <c r="AP36" s="1537"/>
      <c r="AQ36" s="1537"/>
      <c r="AR36" s="1537"/>
      <c r="AS36" s="1537"/>
      <c r="AT36" s="1537"/>
      <c r="AU36" s="1537"/>
      <c r="AV36" s="1537"/>
      <c r="AW36" s="1537"/>
      <c r="AX36" s="1537"/>
      <c r="AY36" s="1537"/>
      <c r="AZ36" s="1537"/>
      <c r="BA36" s="1537"/>
      <c r="BB36" s="1537"/>
      <c r="BC36" s="1537"/>
      <c r="BD36" s="1537"/>
      <c r="BE36" s="1537"/>
      <c r="BF36" s="1537"/>
      <c r="BG36" s="1537"/>
      <c r="BH36" s="1537"/>
      <c r="BI36" s="1537"/>
      <c r="BJ36" s="1537"/>
      <c r="BK36" s="1537"/>
      <c r="BL36" s="1537"/>
      <c r="BM36" s="1537"/>
      <c r="BN36" s="1537"/>
      <c r="BO36" s="1537"/>
      <c r="BP36" s="1537"/>
      <c r="BQ36" s="1537"/>
      <c r="BR36" s="1537"/>
      <c r="BS36" s="1537"/>
      <c r="BT36" s="1537"/>
      <c r="BU36" s="1537"/>
      <c r="BV36" s="1537"/>
      <c r="BW36" s="1537"/>
      <c r="BX36" s="1537"/>
      <c r="BY36" s="1537"/>
      <c r="BZ36" s="1537"/>
      <c r="CA36" s="1537"/>
      <c r="CB36" s="1537"/>
      <c r="CC36" s="1537"/>
      <c r="CD36" s="1537"/>
      <c r="CE36" s="1537"/>
      <c r="CF36" s="1537"/>
      <c r="CG36" s="1537"/>
      <c r="CH36" s="1537"/>
      <c r="CI36" s="1537"/>
      <c r="CJ36" s="1537"/>
      <c r="CK36" s="1537"/>
      <c r="CL36" s="1537"/>
      <c r="CM36" s="1537"/>
      <c r="CN36" s="1537"/>
      <c r="CO36" s="1537"/>
      <c r="CP36" s="1537"/>
      <c r="CQ36" s="1537"/>
      <c r="CR36" s="1537"/>
      <c r="CS36" s="1537"/>
      <c r="CT36" s="1537"/>
      <c r="CU36" s="1537"/>
      <c r="CV36" s="1537"/>
      <c r="CW36" s="1537"/>
      <c r="CX36" s="1537"/>
      <c r="CY36" s="1537"/>
      <c r="CZ36" s="1537"/>
      <c r="DA36" s="1537"/>
      <c r="DB36" s="1537"/>
      <c r="DC36" s="1537"/>
      <c r="DD36" s="1537"/>
      <c r="DE36" s="1537"/>
      <c r="DF36" s="1537"/>
      <c r="DG36" s="1537"/>
      <c r="DH36" s="1537"/>
      <c r="DI36" s="1537"/>
      <c r="DJ36" s="1537"/>
      <c r="DK36" s="1537"/>
      <c r="DL36" s="1537"/>
      <c r="DM36" s="1537"/>
      <c r="DN36" s="1537"/>
      <c r="DO36" s="1537"/>
      <c r="DP36" s="1537"/>
      <c r="DQ36" s="1537"/>
      <c r="DR36" s="1537"/>
      <c r="DS36" s="1537"/>
      <c r="DT36" s="1537"/>
      <c r="DU36" s="1537"/>
      <c r="DV36" s="1537"/>
      <c r="DW36" s="1537"/>
      <c r="DX36" s="1537"/>
      <c r="DY36" s="1537"/>
      <c r="DZ36" s="1537"/>
      <c r="EA36" s="1537"/>
      <c r="EB36" s="1537"/>
      <c r="EC36" s="1537"/>
      <c r="ED36" s="1537"/>
      <c r="EE36" s="1537"/>
      <c r="EF36" s="1537"/>
      <c r="EG36" s="1537"/>
      <c r="EH36" s="1537"/>
      <c r="EI36" s="1537"/>
      <c r="EJ36" s="1537"/>
      <c r="EK36" s="1537"/>
      <c r="EL36" s="1537"/>
      <c r="EM36" s="1537"/>
      <c r="EN36" s="1537"/>
      <c r="EO36" s="1537"/>
      <c r="EP36" s="1537"/>
      <c r="EQ36" s="1537"/>
      <c r="ER36" s="1537"/>
      <c r="ES36" s="1537"/>
      <c r="ET36" s="1537"/>
      <c r="EU36" s="1537"/>
      <c r="EV36" s="1537"/>
      <c r="EW36" s="1537"/>
      <c r="EX36" s="1537"/>
      <c r="EY36" s="1537"/>
      <c r="EZ36" s="1537"/>
      <c r="FA36" s="1537"/>
      <c r="FB36" s="1537"/>
      <c r="FC36" s="1537"/>
      <c r="FD36" s="1537"/>
      <c r="FE36" s="1537"/>
      <c r="FF36" s="1537"/>
      <c r="FG36" s="1537"/>
      <c r="FH36" s="1537"/>
      <c r="FI36" s="1537"/>
      <c r="FJ36" s="1537"/>
      <c r="FK36" s="1537"/>
      <c r="FL36" s="1537"/>
      <c r="FM36" s="1537"/>
      <c r="FN36" s="1537"/>
      <c r="FO36" s="1537"/>
      <c r="FP36" s="1537"/>
      <c r="FQ36" s="1537"/>
      <c r="FR36" s="1537"/>
      <c r="FS36" s="1537"/>
      <c r="FT36" s="1537"/>
      <c r="FU36" s="1537"/>
      <c r="FV36" s="1537"/>
      <c r="FW36" s="1537"/>
      <c r="FX36" s="1537"/>
      <c r="FY36" s="1537"/>
      <c r="FZ36" s="1537"/>
      <c r="GA36" s="1537"/>
      <c r="GB36" s="1537"/>
      <c r="GC36" s="1537"/>
      <c r="GD36" s="1537"/>
      <c r="GE36" s="1537"/>
      <c r="GF36" s="1537"/>
      <c r="GG36" s="1537"/>
      <c r="GH36" s="1537"/>
      <c r="GI36" s="1537"/>
      <c r="GJ36" s="1537"/>
      <c r="GK36" s="1537"/>
      <c r="GL36" s="1537"/>
      <c r="GM36" s="1537"/>
      <c r="GN36" s="1537"/>
      <c r="GO36" s="1537"/>
      <c r="GP36" s="1537"/>
      <c r="GQ36" s="1537"/>
      <c r="GR36" s="1537"/>
      <c r="GS36" s="1537"/>
      <c r="GT36" s="1537"/>
      <c r="GU36" s="1537"/>
      <c r="GV36" s="1537"/>
      <c r="GW36" s="1537"/>
      <c r="GX36" s="1537"/>
      <c r="GY36" s="1537"/>
      <c r="GZ36" s="1537"/>
      <c r="HA36" s="1537"/>
      <c r="HB36" s="1537"/>
      <c r="HC36" s="1537"/>
      <c r="HD36" s="1537"/>
      <c r="HE36" s="1537"/>
      <c r="HF36" s="1537"/>
      <c r="HG36" s="1537"/>
      <c r="HH36" s="1537"/>
      <c r="HI36" s="1537"/>
      <c r="HJ36" s="1537"/>
      <c r="HK36" s="1537"/>
      <c r="HL36" s="1537"/>
      <c r="HM36" s="1537"/>
      <c r="HN36" s="1537"/>
      <c r="HO36" s="1537"/>
      <c r="HP36" s="1537"/>
      <c r="HQ36" s="1537"/>
      <c r="HR36" s="1537"/>
      <c r="HS36" s="1537"/>
      <c r="HT36" s="1537"/>
      <c r="HU36" s="1537"/>
      <c r="HV36" s="1537"/>
      <c r="HW36" s="1537"/>
      <c r="HX36" s="1537"/>
      <c r="HY36" s="1537"/>
      <c r="HZ36" s="1537"/>
      <c r="IA36" s="1537"/>
      <c r="IB36" s="1537"/>
      <c r="IC36" s="1537"/>
      <c r="ID36" s="1537"/>
      <c r="IE36" s="1537"/>
      <c r="IF36" s="1537"/>
      <c r="IG36" s="1537"/>
      <c r="IH36" s="1537"/>
      <c r="II36" s="1537"/>
      <c r="IJ36" s="1537"/>
      <c r="IK36" s="1537"/>
      <c r="IL36" s="1537"/>
      <c r="IM36" s="1537"/>
      <c r="IN36" s="1537"/>
      <c r="IO36" s="1537"/>
      <c r="IP36" s="1537"/>
      <c r="IQ36" s="1537"/>
      <c r="IR36" s="1537"/>
      <c r="IS36" s="1537"/>
      <c r="IT36" s="1537"/>
      <c r="IU36" s="1537"/>
      <c r="IV36" s="1537"/>
    </row>
    <row r="37" spans="1:256">
      <c r="A37" s="1541">
        <f>+A34+1</f>
        <v>20</v>
      </c>
      <c r="B37" s="1542" t="s">
        <v>679</v>
      </c>
      <c r="C37" s="1542"/>
      <c r="D37" s="1542"/>
      <c r="E37" s="1542" t="s">
        <v>523</v>
      </c>
      <c r="F37" s="1539"/>
      <c r="G37" s="1537"/>
      <c r="H37" s="446">
        <v>0</v>
      </c>
      <c r="I37" s="1539"/>
      <c r="J37" s="1537"/>
      <c r="K37" s="1537"/>
      <c r="L37" s="1537"/>
      <c r="M37" s="1537"/>
      <c r="N37" s="1537"/>
      <c r="O37" s="1537"/>
      <c r="P37" s="1537"/>
      <c r="Q37" s="1537"/>
      <c r="R37" s="1537"/>
      <c r="S37" s="1537"/>
      <c r="T37" s="1537"/>
      <c r="U37" s="1537"/>
      <c r="V37" s="1537"/>
      <c r="W37" s="1537"/>
      <c r="X37" s="1537"/>
      <c r="Y37" s="1537"/>
      <c r="Z37" s="1537"/>
      <c r="AA37" s="1537"/>
      <c r="AB37" s="1537"/>
      <c r="AC37" s="1537"/>
      <c r="AD37" s="1537"/>
      <c r="AE37" s="1537"/>
      <c r="AF37" s="1537"/>
      <c r="AG37" s="1537"/>
      <c r="AH37" s="1537"/>
      <c r="AI37" s="1537"/>
      <c r="AJ37" s="1537"/>
      <c r="AK37" s="1537"/>
      <c r="AL37" s="1537"/>
      <c r="AM37" s="1537"/>
      <c r="AN37" s="1537"/>
      <c r="AO37" s="1537"/>
      <c r="AP37" s="1537"/>
      <c r="AQ37" s="1537"/>
      <c r="AR37" s="1537"/>
      <c r="AS37" s="1537"/>
      <c r="AT37" s="1537"/>
      <c r="AU37" s="1537"/>
      <c r="AV37" s="1537"/>
      <c r="AW37" s="1537"/>
      <c r="AX37" s="1537"/>
      <c r="AY37" s="1537"/>
      <c r="AZ37" s="1537"/>
      <c r="BA37" s="1537"/>
      <c r="BB37" s="1537"/>
      <c r="BC37" s="1537"/>
      <c r="BD37" s="1537"/>
      <c r="BE37" s="1537"/>
      <c r="BF37" s="1537"/>
      <c r="BG37" s="1537"/>
      <c r="BH37" s="1537"/>
      <c r="BI37" s="1537"/>
      <c r="BJ37" s="1537"/>
      <c r="BK37" s="1537"/>
      <c r="BL37" s="1537"/>
      <c r="BM37" s="1537"/>
      <c r="BN37" s="1537"/>
      <c r="BO37" s="1537"/>
      <c r="BP37" s="1537"/>
      <c r="BQ37" s="1537"/>
      <c r="BR37" s="1537"/>
      <c r="BS37" s="1537"/>
      <c r="BT37" s="1537"/>
      <c r="BU37" s="1537"/>
      <c r="BV37" s="1537"/>
      <c r="BW37" s="1537"/>
      <c r="BX37" s="1537"/>
      <c r="BY37" s="1537"/>
      <c r="BZ37" s="1537"/>
      <c r="CA37" s="1537"/>
      <c r="CB37" s="1537"/>
      <c r="CC37" s="1537"/>
      <c r="CD37" s="1537"/>
      <c r="CE37" s="1537"/>
      <c r="CF37" s="1537"/>
      <c r="CG37" s="1537"/>
      <c r="CH37" s="1537"/>
      <c r="CI37" s="1537"/>
      <c r="CJ37" s="1537"/>
      <c r="CK37" s="1537"/>
      <c r="CL37" s="1537"/>
      <c r="CM37" s="1537"/>
      <c r="CN37" s="1537"/>
      <c r="CO37" s="1537"/>
      <c r="CP37" s="1537"/>
      <c r="CQ37" s="1537"/>
      <c r="CR37" s="1537"/>
      <c r="CS37" s="1537"/>
      <c r="CT37" s="1537"/>
      <c r="CU37" s="1537"/>
      <c r="CV37" s="1537"/>
      <c r="CW37" s="1537"/>
      <c r="CX37" s="1537"/>
      <c r="CY37" s="1537"/>
      <c r="CZ37" s="1537"/>
      <c r="DA37" s="1537"/>
      <c r="DB37" s="1537"/>
      <c r="DC37" s="1537"/>
      <c r="DD37" s="1537"/>
      <c r="DE37" s="1537"/>
      <c r="DF37" s="1537"/>
      <c r="DG37" s="1537"/>
      <c r="DH37" s="1537"/>
      <c r="DI37" s="1537"/>
      <c r="DJ37" s="1537"/>
      <c r="DK37" s="1537"/>
      <c r="DL37" s="1537"/>
      <c r="DM37" s="1537"/>
      <c r="DN37" s="1537"/>
      <c r="DO37" s="1537"/>
      <c r="DP37" s="1537"/>
      <c r="DQ37" s="1537"/>
      <c r="DR37" s="1537"/>
      <c r="DS37" s="1537"/>
      <c r="DT37" s="1537"/>
      <c r="DU37" s="1537"/>
      <c r="DV37" s="1537"/>
      <c r="DW37" s="1537"/>
      <c r="DX37" s="1537"/>
      <c r="DY37" s="1537"/>
      <c r="DZ37" s="1537"/>
      <c r="EA37" s="1537"/>
      <c r="EB37" s="1537"/>
      <c r="EC37" s="1537"/>
      <c r="ED37" s="1537"/>
      <c r="EE37" s="1537"/>
      <c r="EF37" s="1537"/>
      <c r="EG37" s="1537"/>
      <c r="EH37" s="1537"/>
      <c r="EI37" s="1537"/>
      <c r="EJ37" s="1537"/>
      <c r="EK37" s="1537"/>
      <c r="EL37" s="1537"/>
      <c r="EM37" s="1537"/>
      <c r="EN37" s="1537"/>
      <c r="EO37" s="1537"/>
      <c r="EP37" s="1537"/>
      <c r="EQ37" s="1537"/>
      <c r="ER37" s="1537"/>
      <c r="ES37" s="1537"/>
      <c r="ET37" s="1537"/>
      <c r="EU37" s="1537"/>
      <c r="EV37" s="1537"/>
      <c r="EW37" s="1537"/>
      <c r="EX37" s="1537"/>
      <c r="EY37" s="1537"/>
      <c r="EZ37" s="1537"/>
      <c r="FA37" s="1537"/>
      <c r="FB37" s="1537"/>
      <c r="FC37" s="1537"/>
      <c r="FD37" s="1537"/>
      <c r="FE37" s="1537"/>
      <c r="FF37" s="1537"/>
      <c r="FG37" s="1537"/>
      <c r="FH37" s="1537"/>
      <c r="FI37" s="1537"/>
      <c r="FJ37" s="1537"/>
      <c r="FK37" s="1537"/>
      <c r="FL37" s="1537"/>
      <c r="FM37" s="1537"/>
      <c r="FN37" s="1537"/>
      <c r="FO37" s="1537"/>
      <c r="FP37" s="1537"/>
      <c r="FQ37" s="1537"/>
      <c r="FR37" s="1537"/>
      <c r="FS37" s="1537"/>
      <c r="FT37" s="1537"/>
      <c r="FU37" s="1537"/>
      <c r="FV37" s="1537"/>
      <c r="FW37" s="1537"/>
      <c r="FX37" s="1537"/>
      <c r="FY37" s="1537"/>
      <c r="FZ37" s="1537"/>
      <c r="GA37" s="1537"/>
      <c r="GB37" s="1537"/>
      <c r="GC37" s="1537"/>
      <c r="GD37" s="1537"/>
      <c r="GE37" s="1537"/>
      <c r="GF37" s="1537"/>
      <c r="GG37" s="1537"/>
      <c r="GH37" s="1537"/>
      <c r="GI37" s="1537"/>
      <c r="GJ37" s="1537"/>
      <c r="GK37" s="1537"/>
      <c r="GL37" s="1537"/>
      <c r="GM37" s="1537"/>
      <c r="GN37" s="1537"/>
      <c r="GO37" s="1537"/>
      <c r="GP37" s="1537"/>
      <c r="GQ37" s="1537"/>
      <c r="GR37" s="1537"/>
      <c r="GS37" s="1537"/>
      <c r="GT37" s="1537"/>
      <c r="GU37" s="1537"/>
      <c r="GV37" s="1537"/>
      <c r="GW37" s="1537"/>
      <c r="GX37" s="1537"/>
      <c r="GY37" s="1537"/>
      <c r="GZ37" s="1537"/>
      <c r="HA37" s="1537"/>
      <c r="HB37" s="1537"/>
      <c r="HC37" s="1537"/>
      <c r="HD37" s="1537"/>
      <c r="HE37" s="1537"/>
      <c r="HF37" s="1537"/>
      <c r="HG37" s="1537"/>
      <c r="HH37" s="1537"/>
      <c r="HI37" s="1537"/>
      <c r="HJ37" s="1537"/>
      <c r="HK37" s="1537"/>
      <c r="HL37" s="1537"/>
      <c r="HM37" s="1537"/>
      <c r="HN37" s="1537"/>
      <c r="HO37" s="1537"/>
      <c r="HP37" s="1537"/>
      <c r="HQ37" s="1537"/>
      <c r="HR37" s="1537"/>
      <c r="HS37" s="1537"/>
      <c r="HT37" s="1537"/>
      <c r="HU37" s="1537"/>
      <c r="HV37" s="1537"/>
      <c r="HW37" s="1537"/>
      <c r="HX37" s="1537"/>
      <c r="HY37" s="1537"/>
      <c r="HZ37" s="1537"/>
      <c r="IA37" s="1537"/>
      <c r="IB37" s="1537"/>
      <c r="IC37" s="1537"/>
      <c r="ID37" s="1537"/>
      <c r="IE37" s="1537"/>
      <c r="IF37" s="1537"/>
      <c r="IG37" s="1537"/>
      <c r="IH37" s="1537"/>
      <c r="II37" s="1537"/>
      <c r="IJ37" s="1537"/>
      <c r="IK37" s="1537"/>
      <c r="IL37" s="1537"/>
      <c r="IM37" s="1537"/>
      <c r="IN37" s="1537"/>
      <c r="IO37" s="1537"/>
      <c r="IP37" s="1537"/>
      <c r="IQ37" s="1537"/>
      <c r="IR37" s="1537"/>
      <c r="IS37" s="1537"/>
      <c r="IT37" s="1537"/>
      <c r="IU37" s="1537"/>
      <c r="IV37" s="1537"/>
    </row>
    <row r="38" spans="1:256">
      <c r="A38" s="1541">
        <f>+A37+1</f>
        <v>21</v>
      </c>
      <c r="B38" s="1542" t="s">
        <v>680</v>
      </c>
      <c r="C38" s="1542"/>
      <c r="D38" s="1542"/>
      <c r="E38" s="1542" t="s">
        <v>524</v>
      </c>
      <c r="F38" s="1539"/>
      <c r="G38" s="1537"/>
      <c r="H38" s="446">
        <v>0</v>
      </c>
      <c r="I38" s="1539"/>
      <c r="J38" s="1537"/>
      <c r="K38" s="1537"/>
      <c r="L38" s="1537"/>
      <c r="M38" s="1537"/>
      <c r="N38" s="1537"/>
      <c r="O38" s="1537"/>
      <c r="P38" s="1537"/>
      <c r="Q38" s="1537"/>
      <c r="R38" s="1537"/>
      <c r="S38" s="1537"/>
      <c r="T38" s="1537"/>
      <c r="U38" s="1537"/>
      <c r="V38" s="1537"/>
      <c r="W38" s="1537"/>
      <c r="X38" s="1537"/>
      <c r="Y38" s="1537"/>
      <c r="Z38" s="1537"/>
      <c r="AA38" s="1537"/>
      <c r="AB38" s="1537"/>
      <c r="AC38" s="1537"/>
      <c r="AD38" s="1537"/>
      <c r="AE38" s="1537"/>
      <c r="AF38" s="1537"/>
      <c r="AG38" s="1537"/>
      <c r="AH38" s="1537"/>
      <c r="AI38" s="1537"/>
      <c r="AJ38" s="1537"/>
      <c r="AK38" s="1537"/>
      <c r="AL38" s="1537"/>
      <c r="AM38" s="1537"/>
      <c r="AN38" s="1537"/>
      <c r="AO38" s="1537"/>
      <c r="AP38" s="1537"/>
      <c r="AQ38" s="1537"/>
      <c r="AR38" s="1537"/>
      <c r="AS38" s="1537"/>
      <c r="AT38" s="1537"/>
      <c r="AU38" s="1537"/>
      <c r="AV38" s="1537"/>
      <c r="AW38" s="1537"/>
      <c r="AX38" s="1537"/>
      <c r="AY38" s="1537"/>
      <c r="AZ38" s="1537"/>
      <c r="BA38" s="1537"/>
      <c r="BB38" s="1537"/>
      <c r="BC38" s="1537"/>
      <c r="BD38" s="1537"/>
      <c r="BE38" s="1537"/>
      <c r="BF38" s="1537"/>
      <c r="BG38" s="1537"/>
      <c r="BH38" s="1537"/>
      <c r="BI38" s="1537"/>
      <c r="BJ38" s="1537"/>
      <c r="BK38" s="1537"/>
      <c r="BL38" s="1537"/>
      <c r="BM38" s="1537"/>
      <c r="BN38" s="1537"/>
      <c r="BO38" s="1537"/>
      <c r="BP38" s="1537"/>
      <c r="BQ38" s="1537"/>
      <c r="BR38" s="1537"/>
      <c r="BS38" s="1537"/>
      <c r="BT38" s="1537"/>
      <c r="BU38" s="1537"/>
      <c r="BV38" s="1537"/>
      <c r="BW38" s="1537"/>
      <c r="BX38" s="1537"/>
      <c r="BY38" s="1537"/>
      <c r="BZ38" s="1537"/>
      <c r="CA38" s="1537"/>
      <c r="CB38" s="1537"/>
      <c r="CC38" s="1537"/>
      <c r="CD38" s="1537"/>
      <c r="CE38" s="1537"/>
      <c r="CF38" s="1537"/>
      <c r="CG38" s="1537"/>
      <c r="CH38" s="1537"/>
      <c r="CI38" s="1537"/>
      <c r="CJ38" s="1537"/>
      <c r="CK38" s="1537"/>
      <c r="CL38" s="1537"/>
      <c r="CM38" s="1537"/>
      <c r="CN38" s="1537"/>
      <c r="CO38" s="1537"/>
      <c r="CP38" s="1537"/>
      <c r="CQ38" s="1537"/>
      <c r="CR38" s="1537"/>
      <c r="CS38" s="1537"/>
      <c r="CT38" s="1537"/>
      <c r="CU38" s="1537"/>
      <c r="CV38" s="1537"/>
      <c r="CW38" s="1537"/>
      <c r="CX38" s="1537"/>
      <c r="CY38" s="1537"/>
      <c r="CZ38" s="1537"/>
      <c r="DA38" s="1537"/>
      <c r="DB38" s="1537"/>
      <c r="DC38" s="1537"/>
      <c r="DD38" s="1537"/>
      <c r="DE38" s="1537"/>
      <c r="DF38" s="1537"/>
      <c r="DG38" s="1537"/>
      <c r="DH38" s="1537"/>
      <c r="DI38" s="1537"/>
      <c r="DJ38" s="1537"/>
      <c r="DK38" s="1537"/>
      <c r="DL38" s="1537"/>
      <c r="DM38" s="1537"/>
      <c r="DN38" s="1537"/>
      <c r="DO38" s="1537"/>
      <c r="DP38" s="1537"/>
      <c r="DQ38" s="1537"/>
      <c r="DR38" s="1537"/>
      <c r="DS38" s="1537"/>
      <c r="DT38" s="1537"/>
      <c r="DU38" s="1537"/>
      <c r="DV38" s="1537"/>
      <c r="DW38" s="1537"/>
      <c r="DX38" s="1537"/>
      <c r="DY38" s="1537"/>
      <c r="DZ38" s="1537"/>
      <c r="EA38" s="1537"/>
      <c r="EB38" s="1537"/>
      <c r="EC38" s="1537"/>
      <c r="ED38" s="1537"/>
      <c r="EE38" s="1537"/>
      <c r="EF38" s="1537"/>
      <c r="EG38" s="1537"/>
      <c r="EH38" s="1537"/>
      <c r="EI38" s="1537"/>
      <c r="EJ38" s="1537"/>
      <c r="EK38" s="1537"/>
      <c r="EL38" s="1537"/>
      <c r="EM38" s="1537"/>
      <c r="EN38" s="1537"/>
      <c r="EO38" s="1537"/>
      <c r="EP38" s="1537"/>
      <c r="EQ38" s="1537"/>
      <c r="ER38" s="1537"/>
      <c r="ES38" s="1537"/>
      <c r="ET38" s="1537"/>
      <c r="EU38" s="1537"/>
      <c r="EV38" s="1537"/>
      <c r="EW38" s="1537"/>
      <c r="EX38" s="1537"/>
      <c r="EY38" s="1537"/>
      <c r="EZ38" s="1537"/>
      <c r="FA38" s="1537"/>
      <c r="FB38" s="1537"/>
      <c r="FC38" s="1537"/>
      <c r="FD38" s="1537"/>
      <c r="FE38" s="1537"/>
      <c r="FF38" s="1537"/>
      <c r="FG38" s="1537"/>
      <c r="FH38" s="1537"/>
      <c r="FI38" s="1537"/>
      <c r="FJ38" s="1537"/>
      <c r="FK38" s="1537"/>
      <c r="FL38" s="1537"/>
      <c r="FM38" s="1537"/>
      <c r="FN38" s="1537"/>
      <c r="FO38" s="1537"/>
      <c r="FP38" s="1537"/>
      <c r="FQ38" s="1537"/>
      <c r="FR38" s="1537"/>
      <c r="FS38" s="1537"/>
      <c r="FT38" s="1537"/>
      <c r="FU38" s="1537"/>
      <c r="FV38" s="1537"/>
      <c r="FW38" s="1537"/>
      <c r="FX38" s="1537"/>
      <c r="FY38" s="1537"/>
      <c r="FZ38" s="1537"/>
      <c r="GA38" s="1537"/>
      <c r="GB38" s="1537"/>
      <c r="GC38" s="1537"/>
      <c r="GD38" s="1537"/>
      <c r="GE38" s="1537"/>
      <c r="GF38" s="1537"/>
      <c r="GG38" s="1537"/>
      <c r="GH38" s="1537"/>
      <c r="GI38" s="1537"/>
      <c r="GJ38" s="1537"/>
      <c r="GK38" s="1537"/>
      <c r="GL38" s="1537"/>
      <c r="GM38" s="1537"/>
      <c r="GN38" s="1537"/>
      <c r="GO38" s="1537"/>
      <c r="GP38" s="1537"/>
      <c r="GQ38" s="1537"/>
      <c r="GR38" s="1537"/>
      <c r="GS38" s="1537"/>
      <c r="GT38" s="1537"/>
      <c r="GU38" s="1537"/>
      <c r="GV38" s="1537"/>
      <c r="GW38" s="1537"/>
      <c r="GX38" s="1537"/>
      <c r="GY38" s="1537"/>
      <c r="GZ38" s="1537"/>
      <c r="HA38" s="1537"/>
      <c r="HB38" s="1537"/>
      <c r="HC38" s="1537"/>
      <c r="HD38" s="1537"/>
      <c r="HE38" s="1537"/>
      <c r="HF38" s="1537"/>
      <c r="HG38" s="1537"/>
      <c r="HH38" s="1537"/>
      <c r="HI38" s="1537"/>
      <c r="HJ38" s="1537"/>
      <c r="HK38" s="1537"/>
      <c r="HL38" s="1537"/>
      <c r="HM38" s="1537"/>
      <c r="HN38" s="1537"/>
      <c r="HO38" s="1537"/>
      <c r="HP38" s="1537"/>
      <c r="HQ38" s="1537"/>
      <c r="HR38" s="1537"/>
      <c r="HS38" s="1537"/>
      <c r="HT38" s="1537"/>
      <c r="HU38" s="1537"/>
      <c r="HV38" s="1537"/>
      <c r="HW38" s="1537"/>
      <c r="HX38" s="1537"/>
      <c r="HY38" s="1537"/>
      <c r="HZ38" s="1537"/>
      <c r="IA38" s="1537"/>
      <c r="IB38" s="1537"/>
      <c r="IC38" s="1537"/>
      <c r="ID38" s="1537"/>
      <c r="IE38" s="1537"/>
      <c r="IF38" s="1537"/>
      <c r="IG38" s="1537"/>
      <c r="IH38" s="1537"/>
      <c r="II38" s="1537"/>
      <c r="IJ38" s="1537"/>
      <c r="IK38" s="1537"/>
      <c r="IL38" s="1537"/>
      <c r="IM38" s="1537"/>
      <c r="IN38" s="1537"/>
      <c r="IO38" s="1537"/>
      <c r="IP38" s="1537"/>
      <c r="IQ38" s="1537"/>
      <c r="IR38" s="1537"/>
      <c r="IS38" s="1537"/>
      <c r="IT38" s="1537"/>
      <c r="IU38" s="1537"/>
      <c r="IV38" s="1537"/>
    </row>
    <row r="39" spans="1:256">
      <c r="A39" s="1541">
        <f>+A38+1</f>
        <v>22</v>
      </c>
      <c r="B39" s="1542" t="s">
        <v>507</v>
      </c>
      <c r="C39" s="1542"/>
      <c r="D39" s="1542"/>
      <c r="E39" s="1542" t="str">
        <f>"Line "&amp;A37&amp;" less Line "&amp;A38</f>
        <v>Line 20 less Line 21</v>
      </c>
      <c r="F39" s="1539"/>
      <c r="G39" s="1537"/>
      <c r="H39" s="1543">
        <f>+H37-H38</f>
        <v>0</v>
      </c>
      <c r="I39" s="1539"/>
      <c r="J39" s="1537"/>
      <c r="K39" s="1537"/>
      <c r="L39" s="1537"/>
      <c r="M39" s="1537"/>
      <c r="N39" s="1537"/>
      <c r="O39" s="1537"/>
      <c r="P39" s="1537"/>
      <c r="Q39" s="1537"/>
      <c r="R39" s="1537"/>
      <c r="S39" s="1537"/>
      <c r="T39" s="1537"/>
      <c r="U39" s="1537"/>
      <c r="V39" s="1537"/>
      <c r="W39" s="1537"/>
      <c r="X39" s="1537"/>
      <c r="Y39" s="1537"/>
      <c r="Z39" s="1537"/>
      <c r="AA39" s="1537"/>
      <c r="AB39" s="1537"/>
      <c r="AC39" s="1537"/>
      <c r="AD39" s="1537"/>
      <c r="AE39" s="1537"/>
      <c r="AF39" s="1537"/>
      <c r="AG39" s="1537"/>
      <c r="AH39" s="1537"/>
      <c r="AI39" s="1537"/>
      <c r="AJ39" s="1537"/>
      <c r="AK39" s="1537"/>
      <c r="AL39" s="1537"/>
      <c r="AM39" s="1537"/>
      <c r="AN39" s="1537"/>
      <c r="AO39" s="1537"/>
      <c r="AP39" s="1537"/>
      <c r="AQ39" s="1537"/>
      <c r="AR39" s="1537"/>
      <c r="AS39" s="1537"/>
      <c r="AT39" s="1537"/>
      <c r="AU39" s="1537"/>
      <c r="AV39" s="1537"/>
      <c r="AW39" s="1537"/>
      <c r="AX39" s="1537"/>
      <c r="AY39" s="1537"/>
      <c r="AZ39" s="1537"/>
      <c r="BA39" s="1537"/>
      <c r="BB39" s="1537"/>
      <c r="BC39" s="1537"/>
      <c r="BD39" s="1537"/>
      <c r="BE39" s="1537"/>
      <c r="BF39" s="1537"/>
      <c r="BG39" s="1537"/>
      <c r="BH39" s="1537"/>
      <c r="BI39" s="1537"/>
      <c r="BJ39" s="1537"/>
      <c r="BK39" s="1537"/>
      <c r="BL39" s="1537"/>
      <c r="BM39" s="1537"/>
      <c r="BN39" s="1537"/>
      <c r="BO39" s="1537"/>
      <c r="BP39" s="1537"/>
      <c r="BQ39" s="1537"/>
      <c r="BR39" s="1537"/>
      <c r="BS39" s="1537"/>
      <c r="BT39" s="1537"/>
      <c r="BU39" s="1537"/>
      <c r="BV39" s="1537"/>
      <c r="BW39" s="1537"/>
      <c r="BX39" s="1537"/>
      <c r="BY39" s="1537"/>
      <c r="BZ39" s="1537"/>
      <c r="CA39" s="1537"/>
      <c r="CB39" s="1537"/>
      <c r="CC39" s="1537"/>
      <c r="CD39" s="1537"/>
      <c r="CE39" s="1537"/>
      <c r="CF39" s="1537"/>
      <c r="CG39" s="1537"/>
      <c r="CH39" s="1537"/>
      <c r="CI39" s="1537"/>
      <c r="CJ39" s="1537"/>
      <c r="CK39" s="1537"/>
      <c r="CL39" s="1537"/>
      <c r="CM39" s="1537"/>
      <c r="CN39" s="1537"/>
      <c r="CO39" s="1537"/>
      <c r="CP39" s="1537"/>
      <c r="CQ39" s="1537"/>
      <c r="CR39" s="1537"/>
      <c r="CS39" s="1537"/>
      <c r="CT39" s="1537"/>
      <c r="CU39" s="1537"/>
      <c r="CV39" s="1537"/>
      <c r="CW39" s="1537"/>
      <c r="CX39" s="1537"/>
      <c r="CY39" s="1537"/>
      <c r="CZ39" s="1537"/>
      <c r="DA39" s="1537"/>
      <c r="DB39" s="1537"/>
      <c r="DC39" s="1537"/>
      <c r="DD39" s="1537"/>
      <c r="DE39" s="1537"/>
      <c r="DF39" s="1537"/>
      <c r="DG39" s="1537"/>
      <c r="DH39" s="1537"/>
      <c r="DI39" s="1537"/>
      <c r="DJ39" s="1537"/>
      <c r="DK39" s="1537"/>
      <c r="DL39" s="1537"/>
      <c r="DM39" s="1537"/>
      <c r="DN39" s="1537"/>
      <c r="DO39" s="1537"/>
      <c r="DP39" s="1537"/>
      <c r="DQ39" s="1537"/>
      <c r="DR39" s="1537"/>
      <c r="DS39" s="1537"/>
      <c r="DT39" s="1537"/>
      <c r="DU39" s="1537"/>
      <c r="DV39" s="1537"/>
      <c r="DW39" s="1537"/>
      <c r="DX39" s="1537"/>
      <c r="DY39" s="1537"/>
      <c r="DZ39" s="1537"/>
      <c r="EA39" s="1537"/>
      <c r="EB39" s="1537"/>
      <c r="EC39" s="1537"/>
      <c r="ED39" s="1537"/>
      <c r="EE39" s="1537"/>
      <c r="EF39" s="1537"/>
      <c r="EG39" s="1537"/>
      <c r="EH39" s="1537"/>
      <c r="EI39" s="1537"/>
      <c r="EJ39" s="1537"/>
      <c r="EK39" s="1537"/>
      <c r="EL39" s="1537"/>
      <c r="EM39" s="1537"/>
      <c r="EN39" s="1537"/>
      <c r="EO39" s="1537"/>
      <c r="EP39" s="1537"/>
      <c r="EQ39" s="1537"/>
      <c r="ER39" s="1537"/>
      <c r="ES39" s="1537"/>
      <c r="ET39" s="1537"/>
      <c r="EU39" s="1537"/>
      <c r="EV39" s="1537"/>
      <c r="EW39" s="1537"/>
      <c r="EX39" s="1537"/>
      <c r="EY39" s="1537"/>
      <c r="EZ39" s="1537"/>
      <c r="FA39" s="1537"/>
      <c r="FB39" s="1537"/>
      <c r="FC39" s="1537"/>
      <c r="FD39" s="1537"/>
      <c r="FE39" s="1537"/>
      <c r="FF39" s="1537"/>
      <c r="FG39" s="1537"/>
      <c r="FH39" s="1537"/>
      <c r="FI39" s="1537"/>
      <c r="FJ39" s="1537"/>
      <c r="FK39" s="1537"/>
      <c r="FL39" s="1537"/>
      <c r="FM39" s="1537"/>
      <c r="FN39" s="1537"/>
      <c r="FO39" s="1537"/>
      <c r="FP39" s="1537"/>
      <c r="FQ39" s="1537"/>
      <c r="FR39" s="1537"/>
      <c r="FS39" s="1537"/>
      <c r="FT39" s="1537"/>
      <c r="FU39" s="1537"/>
      <c r="FV39" s="1537"/>
      <c r="FW39" s="1537"/>
      <c r="FX39" s="1537"/>
      <c r="FY39" s="1537"/>
      <c r="FZ39" s="1537"/>
      <c r="GA39" s="1537"/>
      <c r="GB39" s="1537"/>
      <c r="GC39" s="1537"/>
      <c r="GD39" s="1537"/>
      <c r="GE39" s="1537"/>
      <c r="GF39" s="1537"/>
      <c r="GG39" s="1537"/>
      <c r="GH39" s="1537"/>
      <c r="GI39" s="1537"/>
      <c r="GJ39" s="1537"/>
      <c r="GK39" s="1537"/>
      <c r="GL39" s="1537"/>
      <c r="GM39" s="1537"/>
      <c r="GN39" s="1537"/>
      <c r="GO39" s="1537"/>
      <c r="GP39" s="1537"/>
      <c r="GQ39" s="1537"/>
      <c r="GR39" s="1537"/>
      <c r="GS39" s="1537"/>
      <c r="GT39" s="1537"/>
      <c r="GU39" s="1537"/>
      <c r="GV39" s="1537"/>
      <c r="GW39" s="1537"/>
      <c r="GX39" s="1537"/>
      <c r="GY39" s="1537"/>
      <c r="GZ39" s="1537"/>
      <c r="HA39" s="1537"/>
      <c r="HB39" s="1537"/>
      <c r="HC39" s="1537"/>
      <c r="HD39" s="1537"/>
      <c r="HE39" s="1537"/>
      <c r="HF39" s="1537"/>
      <c r="HG39" s="1537"/>
      <c r="HH39" s="1537"/>
      <c r="HI39" s="1537"/>
      <c r="HJ39" s="1537"/>
      <c r="HK39" s="1537"/>
      <c r="HL39" s="1537"/>
      <c r="HM39" s="1537"/>
      <c r="HN39" s="1537"/>
      <c r="HO39" s="1537"/>
      <c r="HP39" s="1537"/>
      <c r="HQ39" s="1537"/>
      <c r="HR39" s="1537"/>
      <c r="HS39" s="1537"/>
      <c r="HT39" s="1537"/>
      <c r="HU39" s="1537"/>
      <c r="HV39" s="1537"/>
      <c r="HW39" s="1537"/>
      <c r="HX39" s="1537"/>
      <c r="HY39" s="1537"/>
      <c r="HZ39" s="1537"/>
      <c r="IA39" s="1537"/>
      <c r="IB39" s="1537"/>
      <c r="IC39" s="1537"/>
      <c r="ID39" s="1537"/>
      <c r="IE39" s="1537"/>
      <c r="IF39" s="1537"/>
      <c r="IG39" s="1537"/>
      <c r="IH39" s="1537"/>
      <c r="II39" s="1537"/>
      <c r="IJ39" s="1537"/>
      <c r="IK39" s="1537"/>
      <c r="IL39" s="1537"/>
      <c r="IM39" s="1537"/>
      <c r="IN39" s="1537"/>
      <c r="IO39" s="1537"/>
      <c r="IP39" s="1537"/>
      <c r="IQ39" s="1537"/>
      <c r="IR39" s="1537"/>
      <c r="IS39" s="1537"/>
      <c r="IT39" s="1537"/>
      <c r="IU39" s="1537"/>
      <c r="IV39" s="1537"/>
    </row>
    <row r="40" spans="1:256">
      <c r="A40" s="1541">
        <f>+A39+1</f>
        <v>23</v>
      </c>
      <c r="B40" s="1542" t="s">
        <v>508</v>
      </c>
      <c r="C40" s="1542"/>
      <c r="D40" s="1542"/>
      <c r="E40" s="1542" t="str">
        <f>"Line "&amp;A39&amp;" / 12"</f>
        <v>Line 22 / 12</v>
      </c>
      <c r="F40" s="1539"/>
      <c r="G40" s="1537"/>
      <c r="H40" s="1544">
        <f>+H39/12</f>
        <v>0</v>
      </c>
      <c r="I40" s="1539"/>
      <c r="J40" s="1537"/>
      <c r="K40" s="1537"/>
      <c r="L40" s="1537"/>
      <c r="M40" s="1537"/>
      <c r="N40" s="1537"/>
      <c r="O40" s="1537"/>
      <c r="P40" s="1537"/>
      <c r="Q40" s="1537"/>
      <c r="R40" s="1537"/>
      <c r="S40" s="1537"/>
      <c r="T40" s="1537"/>
      <c r="U40" s="1537"/>
      <c r="V40" s="1537"/>
      <c r="W40" s="1537"/>
      <c r="X40" s="1537"/>
      <c r="Y40" s="1537"/>
      <c r="Z40" s="1537"/>
      <c r="AA40" s="1537"/>
      <c r="AB40" s="1537"/>
      <c r="AC40" s="1537"/>
      <c r="AD40" s="1537"/>
      <c r="AE40" s="1537"/>
      <c r="AF40" s="1537"/>
      <c r="AG40" s="1537"/>
      <c r="AH40" s="1537"/>
      <c r="AI40" s="1537"/>
      <c r="AJ40" s="1537"/>
      <c r="AK40" s="1537"/>
      <c r="AL40" s="1537"/>
      <c r="AM40" s="1537"/>
      <c r="AN40" s="1537"/>
      <c r="AO40" s="1537"/>
      <c r="AP40" s="1537"/>
      <c r="AQ40" s="1537"/>
      <c r="AR40" s="1537"/>
      <c r="AS40" s="1537"/>
      <c r="AT40" s="1537"/>
      <c r="AU40" s="1537"/>
      <c r="AV40" s="1537"/>
      <c r="AW40" s="1537"/>
      <c r="AX40" s="1537"/>
      <c r="AY40" s="1537"/>
      <c r="AZ40" s="1537"/>
      <c r="BA40" s="1537"/>
      <c r="BB40" s="1537"/>
      <c r="BC40" s="1537"/>
      <c r="BD40" s="1537"/>
      <c r="BE40" s="1537"/>
      <c r="BF40" s="1537"/>
      <c r="BG40" s="1537"/>
      <c r="BH40" s="1537"/>
      <c r="BI40" s="1537"/>
      <c r="BJ40" s="1537"/>
      <c r="BK40" s="1537"/>
      <c r="BL40" s="1537"/>
      <c r="BM40" s="1537"/>
      <c r="BN40" s="1537"/>
      <c r="BO40" s="1537"/>
      <c r="BP40" s="1537"/>
      <c r="BQ40" s="1537"/>
      <c r="BR40" s="1537"/>
      <c r="BS40" s="1537"/>
      <c r="BT40" s="1537"/>
      <c r="BU40" s="1537"/>
      <c r="BV40" s="1537"/>
      <c r="BW40" s="1537"/>
      <c r="BX40" s="1537"/>
      <c r="BY40" s="1537"/>
      <c r="BZ40" s="1537"/>
      <c r="CA40" s="1537"/>
      <c r="CB40" s="1537"/>
      <c r="CC40" s="1537"/>
      <c r="CD40" s="1537"/>
      <c r="CE40" s="1537"/>
      <c r="CF40" s="1537"/>
      <c r="CG40" s="1537"/>
      <c r="CH40" s="1537"/>
      <c r="CI40" s="1537"/>
      <c r="CJ40" s="1537"/>
      <c r="CK40" s="1537"/>
      <c r="CL40" s="1537"/>
      <c r="CM40" s="1537"/>
      <c r="CN40" s="1537"/>
      <c r="CO40" s="1537"/>
      <c r="CP40" s="1537"/>
      <c r="CQ40" s="1537"/>
      <c r="CR40" s="1537"/>
      <c r="CS40" s="1537"/>
      <c r="CT40" s="1537"/>
      <c r="CU40" s="1537"/>
      <c r="CV40" s="1537"/>
      <c r="CW40" s="1537"/>
      <c r="CX40" s="1537"/>
      <c r="CY40" s="1537"/>
      <c r="CZ40" s="1537"/>
      <c r="DA40" s="1537"/>
      <c r="DB40" s="1537"/>
      <c r="DC40" s="1537"/>
      <c r="DD40" s="1537"/>
      <c r="DE40" s="1537"/>
      <c r="DF40" s="1537"/>
      <c r="DG40" s="1537"/>
      <c r="DH40" s="1537"/>
      <c r="DI40" s="1537"/>
      <c r="DJ40" s="1537"/>
      <c r="DK40" s="1537"/>
      <c r="DL40" s="1537"/>
      <c r="DM40" s="1537"/>
      <c r="DN40" s="1537"/>
      <c r="DO40" s="1537"/>
      <c r="DP40" s="1537"/>
      <c r="DQ40" s="1537"/>
      <c r="DR40" s="1537"/>
      <c r="DS40" s="1537"/>
      <c r="DT40" s="1537"/>
      <c r="DU40" s="1537"/>
      <c r="DV40" s="1537"/>
      <c r="DW40" s="1537"/>
      <c r="DX40" s="1537"/>
      <c r="DY40" s="1537"/>
      <c r="DZ40" s="1537"/>
      <c r="EA40" s="1537"/>
      <c r="EB40" s="1537"/>
      <c r="EC40" s="1537"/>
      <c r="ED40" s="1537"/>
      <c r="EE40" s="1537"/>
      <c r="EF40" s="1537"/>
      <c r="EG40" s="1537"/>
      <c r="EH40" s="1537"/>
      <c r="EI40" s="1537"/>
      <c r="EJ40" s="1537"/>
      <c r="EK40" s="1537"/>
      <c r="EL40" s="1537"/>
      <c r="EM40" s="1537"/>
      <c r="EN40" s="1537"/>
      <c r="EO40" s="1537"/>
      <c r="EP40" s="1537"/>
      <c r="EQ40" s="1537"/>
      <c r="ER40" s="1537"/>
      <c r="ES40" s="1537"/>
      <c r="ET40" s="1537"/>
      <c r="EU40" s="1537"/>
      <c r="EV40" s="1537"/>
      <c r="EW40" s="1537"/>
      <c r="EX40" s="1537"/>
      <c r="EY40" s="1537"/>
      <c r="EZ40" s="1537"/>
      <c r="FA40" s="1537"/>
      <c r="FB40" s="1537"/>
      <c r="FC40" s="1537"/>
      <c r="FD40" s="1537"/>
      <c r="FE40" s="1537"/>
      <c r="FF40" s="1537"/>
      <c r="FG40" s="1537"/>
      <c r="FH40" s="1537"/>
      <c r="FI40" s="1537"/>
      <c r="FJ40" s="1537"/>
      <c r="FK40" s="1537"/>
      <c r="FL40" s="1537"/>
      <c r="FM40" s="1537"/>
      <c r="FN40" s="1537"/>
      <c r="FO40" s="1537"/>
      <c r="FP40" s="1537"/>
      <c r="FQ40" s="1537"/>
      <c r="FR40" s="1537"/>
      <c r="FS40" s="1537"/>
      <c r="FT40" s="1537"/>
      <c r="FU40" s="1537"/>
      <c r="FV40" s="1537"/>
      <c r="FW40" s="1537"/>
      <c r="FX40" s="1537"/>
      <c r="FY40" s="1537"/>
      <c r="FZ40" s="1537"/>
      <c r="GA40" s="1537"/>
      <c r="GB40" s="1537"/>
      <c r="GC40" s="1537"/>
      <c r="GD40" s="1537"/>
      <c r="GE40" s="1537"/>
      <c r="GF40" s="1537"/>
      <c r="GG40" s="1537"/>
      <c r="GH40" s="1537"/>
      <c r="GI40" s="1537"/>
      <c r="GJ40" s="1537"/>
      <c r="GK40" s="1537"/>
      <c r="GL40" s="1537"/>
      <c r="GM40" s="1537"/>
      <c r="GN40" s="1537"/>
      <c r="GO40" s="1537"/>
      <c r="GP40" s="1537"/>
      <c r="GQ40" s="1537"/>
      <c r="GR40" s="1537"/>
      <c r="GS40" s="1537"/>
      <c r="GT40" s="1537"/>
      <c r="GU40" s="1537"/>
      <c r="GV40" s="1537"/>
      <c r="GW40" s="1537"/>
      <c r="GX40" s="1537"/>
      <c r="GY40" s="1537"/>
      <c r="GZ40" s="1537"/>
      <c r="HA40" s="1537"/>
      <c r="HB40" s="1537"/>
      <c r="HC40" s="1537"/>
      <c r="HD40" s="1537"/>
      <c r="HE40" s="1537"/>
      <c r="HF40" s="1537"/>
      <c r="HG40" s="1537"/>
      <c r="HH40" s="1537"/>
      <c r="HI40" s="1537"/>
      <c r="HJ40" s="1537"/>
      <c r="HK40" s="1537"/>
      <c r="HL40" s="1537"/>
      <c r="HM40" s="1537"/>
      <c r="HN40" s="1537"/>
      <c r="HO40" s="1537"/>
      <c r="HP40" s="1537"/>
      <c r="HQ40" s="1537"/>
      <c r="HR40" s="1537"/>
      <c r="HS40" s="1537"/>
      <c r="HT40" s="1537"/>
      <c r="HU40" s="1537"/>
      <c r="HV40" s="1537"/>
      <c r="HW40" s="1537"/>
      <c r="HX40" s="1537"/>
      <c r="HY40" s="1537"/>
      <c r="HZ40" s="1537"/>
      <c r="IA40" s="1537"/>
      <c r="IB40" s="1537"/>
      <c r="IC40" s="1537"/>
      <c r="ID40" s="1537"/>
      <c r="IE40" s="1537"/>
      <c r="IF40" s="1537"/>
      <c r="IG40" s="1537"/>
      <c r="IH40" s="1537"/>
      <c r="II40" s="1537"/>
      <c r="IJ40" s="1537"/>
      <c r="IK40" s="1537"/>
      <c r="IL40" s="1537"/>
      <c r="IM40" s="1537"/>
      <c r="IN40" s="1537"/>
      <c r="IO40" s="1537"/>
      <c r="IP40" s="1537"/>
      <c r="IQ40" s="1537"/>
      <c r="IR40" s="1537"/>
      <c r="IS40" s="1537"/>
      <c r="IT40" s="1537"/>
      <c r="IU40" s="1537"/>
      <c r="IV40" s="1537"/>
    </row>
    <row r="41" spans="1:256">
      <c r="A41" s="1542"/>
      <c r="B41" s="1542"/>
      <c r="C41" s="1542"/>
      <c r="D41" s="1542"/>
      <c r="E41" s="1539"/>
      <c r="F41" s="1539"/>
      <c r="G41" s="1539"/>
      <c r="H41" s="1539"/>
      <c r="I41" s="1539"/>
      <c r="J41" s="1537"/>
      <c r="K41" s="1537"/>
      <c r="L41" s="1537"/>
      <c r="M41" s="1537"/>
      <c r="N41" s="1537"/>
      <c r="O41" s="1537"/>
      <c r="P41" s="1537"/>
      <c r="Q41" s="1537"/>
      <c r="R41" s="1537"/>
      <c r="S41" s="1537"/>
      <c r="T41" s="1537"/>
      <c r="U41" s="1537"/>
      <c r="V41" s="1537"/>
      <c r="W41" s="1537"/>
      <c r="X41" s="1537"/>
      <c r="Y41" s="1537"/>
      <c r="Z41" s="1537"/>
      <c r="AA41" s="1537"/>
      <c r="AB41" s="1537"/>
      <c r="AC41" s="1537"/>
      <c r="AD41" s="1537"/>
      <c r="AE41" s="1537"/>
      <c r="AF41" s="1537"/>
      <c r="AG41" s="1537"/>
      <c r="AH41" s="1537"/>
      <c r="AI41" s="1537"/>
      <c r="AJ41" s="1537"/>
      <c r="AK41" s="1537"/>
      <c r="AL41" s="1537"/>
      <c r="AM41" s="1537"/>
      <c r="AN41" s="1537"/>
      <c r="AO41" s="1537"/>
      <c r="AP41" s="1537"/>
      <c r="AQ41" s="1537"/>
      <c r="AR41" s="1537"/>
      <c r="AS41" s="1537"/>
      <c r="AT41" s="1537"/>
      <c r="AU41" s="1537"/>
      <c r="AV41" s="1537"/>
      <c r="AW41" s="1537"/>
      <c r="AX41" s="1537"/>
      <c r="AY41" s="1537"/>
      <c r="AZ41" s="1537"/>
      <c r="BA41" s="1537"/>
      <c r="BB41" s="1537"/>
      <c r="BC41" s="1537"/>
      <c r="BD41" s="1537"/>
      <c r="BE41" s="1537"/>
      <c r="BF41" s="1537"/>
      <c r="BG41" s="1537"/>
      <c r="BH41" s="1537"/>
      <c r="BI41" s="1537"/>
      <c r="BJ41" s="1537"/>
      <c r="BK41" s="1537"/>
      <c r="BL41" s="1537"/>
      <c r="BM41" s="1537"/>
      <c r="BN41" s="1537"/>
      <c r="BO41" s="1537"/>
      <c r="BP41" s="1537"/>
      <c r="BQ41" s="1537"/>
      <c r="BR41" s="1537"/>
      <c r="BS41" s="1537"/>
      <c r="BT41" s="1537"/>
      <c r="BU41" s="1537"/>
      <c r="BV41" s="1537"/>
      <c r="BW41" s="1537"/>
      <c r="BX41" s="1537"/>
      <c r="BY41" s="1537"/>
      <c r="BZ41" s="1537"/>
      <c r="CA41" s="1537"/>
      <c r="CB41" s="1537"/>
      <c r="CC41" s="1537"/>
      <c r="CD41" s="1537"/>
      <c r="CE41" s="1537"/>
      <c r="CF41" s="1537"/>
      <c r="CG41" s="1537"/>
      <c r="CH41" s="1537"/>
      <c r="CI41" s="1537"/>
      <c r="CJ41" s="1537"/>
      <c r="CK41" s="1537"/>
      <c r="CL41" s="1537"/>
      <c r="CM41" s="1537"/>
      <c r="CN41" s="1537"/>
      <c r="CO41" s="1537"/>
      <c r="CP41" s="1537"/>
      <c r="CQ41" s="1537"/>
      <c r="CR41" s="1537"/>
      <c r="CS41" s="1537"/>
      <c r="CT41" s="1537"/>
      <c r="CU41" s="1537"/>
      <c r="CV41" s="1537"/>
      <c r="CW41" s="1537"/>
      <c r="CX41" s="1537"/>
      <c r="CY41" s="1537"/>
      <c r="CZ41" s="1537"/>
      <c r="DA41" s="1537"/>
      <c r="DB41" s="1537"/>
      <c r="DC41" s="1537"/>
      <c r="DD41" s="1537"/>
      <c r="DE41" s="1537"/>
      <c r="DF41" s="1537"/>
      <c r="DG41" s="1537"/>
      <c r="DH41" s="1537"/>
      <c r="DI41" s="1537"/>
      <c r="DJ41" s="1537"/>
      <c r="DK41" s="1537"/>
      <c r="DL41" s="1537"/>
      <c r="DM41" s="1537"/>
      <c r="DN41" s="1537"/>
      <c r="DO41" s="1537"/>
      <c r="DP41" s="1537"/>
      <c r="DQ41" s="1537"/>
      <c r="DR41" s="1537"/>
      <c r="DS41" s="1537"/>
      <c r="DT41" s="1537"/>
      <c r="DU41" s="1537"/>
      <c r="DV41" s="1537"/>
      <c r="DW41" s="1537"/>
      <c r="DX41" s="1537"/>
      <c r="DY41" s="1537"/>
      <c r="DZ41" s="1537"/>
      <c r="EA41" s="1537"/>
      <c r="EB41" s="1537"/>
      <c r="EC41" s="1537"/>
      <c r="ED41" s="1537"/>
      <c r="EE41" s="1537"/>
      <c r="EF41" s="1537"/>
      <c r="EG41" s="1537"/>
      <c r="EH41" s="1537"/>
      <c r="EI41" s="1537"/>
      <c r="EJ41" s="1537"/>
      <c r="EK41" s="1537"/>
      <c r="EL41" s="1537"/>
      <c r="EM41" s="1537"/>
      <c r="EN41" s="1537"/>
      <c r="EO41" s="1537"/>
      <c r="EP41" s="1537"/>
      <c r="EQ41" s="1537"/>
      <c r="ER41" s="1537"/>
      <c r="ES41" s="1537"/>
      <c r="ET41" s="1537"/>
      <c r="EU41" s="1537"/>
      <c r="EV41" s="1537"/>
      <c r="EW41" s="1537"/>
      <c r="EX41" s="1537"/>
      <c r="EY41" s="1537"/>
      <c r="EZ41" s="1537"/>
      <c r="FA41" s="1537"/>
      <c r="FB41" s="1537"/>
      <c r="FC41" s="1537"/>
      <c r="FD41" s="1537"/>
      <c r="FE41" s="1537"/>
      <c r="FF41" s="1537"/>
      <c r="FG41" s="1537"/>
      <c r="FH41" s="1537"/>
      <c r="FI41" s="1537"/>
      <c r="FJ41" s="1537"/>
      <c r="FK41" s="1537"/>
      <c r="FL41" s="1537"/>
      <c r="FM41" s="1537"/>
      <c r="FN41" s="1537"/>
      <c r="FO41" s="1537"/>
      <c r="FP41" s="1537"/>
      <c r="FQ41" s="1537"/>
      <c r="FR41" s="1537"/>
      <c r="FS41" s="1537"/>
      <c r="FT41" s="1537"/>
      <c r="FU41" s="1537"/>
      <c r="FV41" s="1537"/>
      <c r="FW41" s="1537"/>
      <c r="FX41" s="1537"/>
      <c r="FY41" s="1537"/>
      <c r="FZ41" s="1537"/>
      <c r="GA41" s="1537"/>
      <c r="GB41" s="1537"/>
      <c r="GC41" s="1537"/>
      <c r="GD41" s="1537"/>
      <c r="GE41" s="1537"/>
      <c r="GF41" s="1537"/>
      <c r="GG41" s="1537"/>
      <c r="GH41" s="1537"/>
      <c r="GI41" s="1537"/>
      <c r="GJ41" s="1537"/>
      <c r="GK41" s="1537"/>
      <c r="GL41" s="1537"/>
      <c r="GM41" s="1537"/>
      <c r="GN41" s="1537"/>
      <c r="GO41" s="1537"/>
      <c r="GP41" s="1537"/>
      <c r="GQ41" s="1537"/>
      <c r="GR41" s="1537"/>
      <c r="GS41" s="1537"/>
      <c r="GT41" s="1537"/>
      <c r="GU41" s="1537"/>
      <c r="GV41" s="1537"/>
      <c r="GW41" s="1537"/>
      <c r="GX41" s="1537"/>
      <c r="GY41" s="1537"/>
      <c r="GZ41" s="1537"/>
      <c r="HA41" s="1537"/>
      <c r="HB41" s="1537"/>
      <c r="HC41" s="1537"/>
      <c r="HD41" s="1537"/>
      <c r="HE41" s="1537"/>
      <c r="HF41" s="1537"/>
      <c r="HG41" s="1537"/>
      <c r="HH41" s="1537"/>
      <c r="HI41" s="1537"/>
      <c r="HJ41" s="1537"/>
      <c r="HK41" s="1537"/>
      <c r="HL41" s="1537"/>
      <c r="HM41" s="1537"/>
      <c r="HN41" s="1537"/>
      <c r="HO41" s="1537"/>
      <c r="HP41" s="1537"/>
      <c r="HQ41" s="1537"/>
      <c r="HR41" s="1537"/>
      <c r="HS41" s="1537"/>
      <c r="HT41" s="1537"/>
      <c r="HU41" s="1537"/>
      <c r="HV41" s="1537"/>
      <c r="HW41" s="1537"/>
      <c r="HX41" s="1537"/>
      <c r="HY41" s="1537"/>
      <c r="HZ41" s="1537"/>
      <c r="IA41" s="1537"/>
      <c r="IB41" s="1537"/>
      <c r="IC41" s="1537"/>
      <c r="ID41" s="1537"/>
      <c r="IE41" s="1537"/>
      <c r="IF41" s="1537"/>
      <c r="IG41" s="1537"/>
      <c r="IH41" s="1537"/>
      <c r="II41" s="1537"/>
      <c r="IJ41" s="1537"/>
      <c r="IK41" s="1537"/>
      <c r="IL41" s="1537"/>
      <c r="IM41" s="1537"/>
      <c r="IN41" s="1537"/>
      <c r="IO41" s="1537"/>
      <c r="IP41" s="1537"/>
      <c r="IQ41" s="1537"/>
      <c r="IR41" s="1537"/>
      <c r="IS41" s="1537"/>
      <c r="IT41" s="1537"/>
      <c r="IU41" s="1537"/>
      <c r="IV41" s="1537"/>
    </row>
    <row r="42" spans="1:256" ht="15">
      <c r="A42" s="1537"/>
      <c r="B42" s="1545" t="s">
        <v>300</v>
      </c>
      <c r="C42" s="1545" t="s">
        <v>301</v>
      </c>
      <c r="D42" s="1545" t="s">
        <v>47</v>
      </c>
      <c r="E42" s="1545" t="s">
        <v>303</v>
      </c>
      <c r="F42" s="1545" t="s">
        <v>228</v>
      </c>
      <c r="G42" s="1545" t="s">
        <v>229</v>
      </c>
      <c r="H42" s="1545" t="s">
        <v>230</v>
      </c>
      <c r="I42" s="1545" t="s">
        <v>235</v>
      </c>
      <c r="J42" s="1537"/>
      <c r="K42" s="1537"/>
      <c r="L42" s="1537"/>
      <c r="M42" s="1537"/>
      <c r="N42" s="1537"/>
      <c r="O42" s="1537"/>
      <c r="P42" s="1537"/>
      <c r="Q42" s="1537"/>
      <c r="R42" s="1537"/>
      <c r="S42" s="1537"/>
      <c r="T42" s="1537"/>
      <c r="U42" s="1537"/>
      <c r="V42" s="1537"/>
      <c r="W42" s="1537"/>
      <c r="X42" s="1537"/>
      <c r="Y42" s="1537"/>
      <c r="Z42" s="1537"/>
      <c r="AA42" s="1537"/>
      <c r="AB42" s="1537"/>
      <c r="AC42" s="1537"/>
      <c r="AD42" s="1537"/>
      <c r="AE42" s="1537"/>
      <c r="AF42" s="1537"/>
      <c r="AG42" s="1537"/>
      <c r="AH42" s="1537"/>
      <c r="AI42" s="1537"/>
      <c r="AJ42" s="1537"/>
      <c r="AK42" s="1537"/>
      <c r="AL42" s="1537"/>
      <c r="AM42" s="1537"/>
      <c r="AN42" s="1537"/>
      <c r="AO42" s="1537"/>
      <c r="AP42" s="1537"/>
      <c r="AQ42" s="1537"/>
      <c r="AR42" s="1537"/>
      <c r="AS42" s="1537"/>
      <c r="AT42" s="1537"/>
      <c r="AU42" s="1537"/>
      <c r="AV42" s="1537"/>
      <c r="AW42" s="1537"/>
      <c r="AX42" s="1537"/>
      <c r="AY42" s="1537"/>
      <c r="AZ42" s="1537"/>
      <c r="BA42" s="1537"/>
      <c r="BB42" s="1537"/>
      <c r="BC42" s="1537"/>
      <c r="BD42" s="1537"/>
      <c r="BE42" s="1537"/>
      <c r="BF42" s="1537"/>
      <c r="BG42" s="1537"/>
      <c r="BH42" s="1537"/>
      <c r="BI42" s="1537"/>
      <c r="BJ42" s="1537"/>
      <c r="BK42" s="1537"/>
      <c r="BL42" s="1537"/>
      <c r="BM42" s="1537"/>
      <c r="BN42" s="1537"/>
      <c r="BO42" s="1537"/>
      <c r="BP42" s="1537"/>
      <c r="BQ42" s="1537"/>
      <c r="BR42" s="1537"/>
      <c r="BS42" s="1537"/>
      <c r="BT42" s="1537"/>
      <c r="BU42" s="1537"/>
      <c r="BV42" s="1537"/>
      <c r="BW42" s="1537"/>
      <c r="BX42" s="1537"/>
      <c r="BY42" s="1537"/>
      <c r="BZ42" s="1537"/>
      <c r="CA42" s="1537"/>
      <c r="CB42" s="1537"/>
      <c r="CC42" s="1537"/>
      <c r="CD42" s="1537"/>
      <c r="CE42" s="1537"/>
      <c r="CF42" s="1537"/>
      <c r="CG42" s="1537"/>
      <c r="CH42" s="1537"/>
      <c r="CI42" s="1537"/>
      <c r="CJ42" s="1537"/>
      <c r="CK42" s="1537"/>
      <c r="CL42" s="1537"/>
      <c r="CM42" s="1537"/>
      <c r="CN42" s="1537"/>
      <c r="CO42" s="1537"/>
      <c r="CP42" s="1537"/>
      <c r="CQ42" s="1537"/>
      <c r="CR42" s="1537"/>
      <c r="CS42" s="1537"/>
      <c r="CT42" s="1537"/>
      <c r="CU42" s="1537"/>
      <c r="CV42" s="1537"/>
      <c r="CW42" s="1537"/>
      <c r="CX42" s="1537"/>
      <c r="CY42" s="1537"/>
      <c r="CZ42" s="1537"/>
      <c r="DA42" s="1537"/>
      <c r="DB42" s="1537"/>
      <c r="DC42" s="1537"/>
      <c r="DD42" s="1537"/>
      <c r="DE42" s="1537"/>
      <c r="DF42" s="1537"/>
      <c r="DG42" s="1537"/>
      <c r="DH42" s="1537"/>
      <c r="DI42" s="1537"/>
      <c r="DJ42" s="1537"/>
      <c r="DK42" s="1537"/>
      <c r="DL42" s="1537"/>
      <c r="DM42" s="1537"/>
      <c r="DN42" s="1537"/>
      <c r="DO42" s="1537"/>
      <c r="DP42" s="1537"/>
      <c r="DQ42" s="1537"/>
      <c r="DR42" s="1537"/>
      <c r="DS42" s="1537"/>
      <c r="DT42" s="1537"/>
      <c r="DU42" s="1537"/>
      <c r="DV42" s="1537"/>
      <c r="DW42" s="1537"/>
      <c r="DX42" s="1537"/>
      <c r="DY42" s="1537"/>
      <c r="DZ42" s="1537"/>
      <c r="EA42" s="1537"/>
      <c r="EB42" s="1537"/>
      <c r="EC42" s="1537"/>
      <c r="ED42" s="1537"/>
      <c r="EE42" s="1537"/>
      <c r="EF42" s="1537"/>
      <c r="EG42" s="1537"/>
      <c r="EH42" s="1537"/>
      <c r="EI42" s="1537"/>
      <c r="EJ42" s="1537"/>
      <c r="EK42" s="1537"/>
      <c r="EL42" s="1537"/>
      <c r="EM42" s="1537"/>
      <c r="EN42" s="1537"/>
      <c r="EO42" s="1537"/>
      <c r="EP42" s="1537"/>
      <c r="EQ42" s="1537"/>
      <c r="ER42" s="1537"/>
      <c r="ES42" s="1537"/>
      <c r="ET42" s="1537"/>
      <c r="EU42" s="1537"/>
      <c r="EV42" s="1537"/>
      <c r="EW42" s="1537"/>
      <c r="EX42" s="1537"/>
      <c r="EY42" s="1537"/>
      <c r="EZ42" s="1537"/>
      <c r="FA42" s="1537"/>
      <c r="FB42" s="1537"/>
      <c r="FC42" s="1537"/>
      <c r="FD42" s="1537"/>
      <c r="FE42" s="1537"/>
      <c r="FF42" s="1537"/>
      <c r="FG42" s="1537"/>
      <c r="FH42" s="1537"/>
      <c r="FI42" s="1537"/>
      <c r="FJ42" s="1537"/>
      <c r="FK42" s="1537"/>
      <c r="FL42" s="1537"/>
      <c r="FM42" s="1537"/>
      <c r="FN42" s="1537"/>
      <c r="FO42" s="1537"/>
      <c r="FP42" s="1537"/>
      <c r="FQ42" s="1537"/>
      <c r="FR42" s="1537"/>
      <c r="FS42" s="1537"/>
      <c r="FT42" s="1537"/>
      <c r="FU42" s="1537"/>
      <c r="FV42" s="1537"/>
      <c r="FW42" s="1537"/>
      <c r="FX42" s="1537"/>
      <c r="FY42" s="1537"/>
      <c r="FZ42" s="1537"/>
      <c r="GA42" s="1537"/>
      <c r="GB42" s="1537"/>
      <c r="GC42" s="1537"/>
      <c r="GD42" s="1537"/>
      <c r="GE42" s="1537"/>
      <c r="GF42" s="1537"/>
      <c r="GG42" s="1537"/>
      <c r="GH42" s="1537"/>
      <c r="GI42" s="1537"/>
      <c r="GJ42" s="1537"/>
      <c r="GK42" s="1537"/>
      <c r="GL42" s="1537"/>
      <c r="GM42" s="1537"/>
      <c r="GN42" s="1537"/>
      <c r="GO42" s="1537"/>
      <c r="GP42" s="1537"/>
      <c r="GQ42" s="1537"/>
      <c r="GR42" s="1537"/>
      <c r="GS42" s="1537"/>
      <c r="GT42" s="1537"/>
      <c r="GU42" s="1537"/>
      <c r="GV42" s="1537"/>
      <c r="GW42" s="1537"/>
      <c r="GX42" s="1537"/>
      <c r="GY42" s="1537"/>
      <c r="GZ42" s="1537"/>
      <c r="HA42" s="1537"/>
      <c r="HB42" s="1537"/>
      <c r="HC42" s="1537"/>
      <c r="HD42" s="1537"/>
      <c r="HE42" s="1537"/>
      <c r="HF42" s="1537"/>
      <c r="HG42" s="1537"/>
      <c r="HH42" s="1537"/>
      <c r="HI42" s="1537"/>
      <c r="HJ42" s="1537"/>
      <c r="HK42" s="1537"/>
      <c r="HL42" s="1537"/>
      <c r="HM42" s="1537"/>
      <c r="HN42" s="1537"/>
      <c r="HO42" s="1537"/>
      <c r="HP42" s="1537"/>
      <c r="HQ42" s="1537"/>
      <c r="HR42" s="1537"/>
      <c r="HS42" s="1537"/>
      <c r="HT42" s="1537"/>
      <c r="HU42" s="1537"/>
      <c r="HV42" s="1537"/>
      <c r="HW42" s="1537"/>
      <c r="HX42" s="1537"/>
      <c r="HY42" s="1537"/>
      <c r="HZ42" s="1537"/>
      <c r="IA42" s="1537"/>
      <c r="IB42" s="1537"/>
      <c r="IC42" s="1537"/>
      <c r="ID42" s="1537"/>
      <c r="IE42" s="1537"/>
      <c r="IF42" s="1537"/>
      <c r="IG42" s="1537"/>
      <c r="IH42" s="1537"/>
      <c r="II42" s="1537"/>
      <c r="IJ42" s="1537"/>
      <c r="IK42" s="1537"/>
      <c r="IL42" s="1537"/>
      <c r="IM42" s="1537"/>
      <c r="IN42" s="1537"/>
      <c r="IO42" s="1537"/>
      <c r="IP42" s="1537"/>
      <c r="IQ42" s="1537"/>
      <c r="IR42" s="1537"/>
      <c r="IS42" s="1537"/>
      <c r="IT42" s="1537"/>
      <c r="IU42" s="1537"/>
      <c r="IV42" s="1537"/>
    </row>
    <row r="43" spans="1:256" ht="38.5">
      <c r="A43" s="1546" t="s">
        <v>307</v>
      </c>
      <c r="B43" s="1547" t="s">
        <v>509</v>
      </c>
      <c r="C43" s="1547" t="s">
        <v>510</v>
      </c>
      <c r="D43" s="1547" t="s">
        <v>518</v>
      </c>
      <c r="E43" s="1547" t="s">
        <v>519</v>
      </c>
      <c r="F43" s="1547" t="s">
        <v>520</v>
      </c>
      <c r="G43" s="1547" t="s">
        <v>521</v>
      </c>
      <c r="H43" s="1547" t="s">
        <v>511</v>
      </c>
      <c r="I43" s="1547" t="s">
        <v>522</v>
      </c>
      <c r="J43" s="1537"/>
      <c r="K43" s="1548"/>
      <c r="L43" s="1548"/>
      <c r="M43" s="1548"/>
      <c r="N43" s="1548"/>
      <c r="O43" s="1548"/>
      <c r="P43" s="1548"/>
      <c r="Q43" s="1548"/>
      <c r="R43" s="1548"/>
      <c r="S43" s="1548"/>
      <c r="T43" s="1548"/>
      <c r="U43" s="1548"/>
      <c r="V43" s="1548"/>
      <c r="W43" s="1548"/>
      <c r="X43" s="1548"/>
      <c r="Y43" s="1548"/>
      <c r="Z43" s="1548"/>
      <c r="AA43" s="1548"/>
      <c r="AB43" s="1548"/>
      <c r="AC43" s="1548"/>
      <c r="AD43" s="1548"/>
      <c r="AE43" s="1548"/>
      <c r="AF43" s="1548"/>
      <c r="AG43" s="1548"/>
      <c r="AH43" s="1548"/>
      <c r="AI43" s="1548"/>
      <c r="AJ43" s="1548"/>
      <c r="AK43" s="1548"/>
      <c r="AL43" s="1548"/>
      <c r="AM43" s="1548"/>
      <c r="AN43" s="1548"/>
      <c r="AO43" s="1548"/>
      <c r="AP43" s="1548"/>
      <c r="AQ43" s="1548"/>
      <c r="AR43" s="1548"/>
      <c r="AS43" s="1548"/>
      <c r="AT43" s="1548"/>
      <c r="AU43" s="1548"/>
      <c r="AV43" s="1548"/>
      <c r="AW43" s="1548"/>
      <c r="AX43" s="1548"/>
      <c r="AY43" s="1548"/>
      <c r="AZ43" s="1548"/>
      <c r="BA43" s="1548"/>
      <c r="BB43" s="1548"/>
      <c r="BC43" s="1548"/>
      <c r="BD43" s="1548"/>
      <c r="BE43" s="1548"/>
      <c r="BF43" s="1548"/>
      <c r="BG43" s="1548"/>
      <c r="BH43" s="1548"/>
      <c r="BI43" s="1548"/>
      <c r="BJ43" s="1548"/>
      <c r="BK43" s="1548"/>
      <c r="BL43" s="1548"/>
      <c r="BM43" s="1548"/>
      <c r="BN43" s="1548"/>
      <c r="BO43" s="1548"/>
      <c r="BP43" s="1548"/>
      <c r="BQ43" s="1548"/>
      <c r="BR43" s="1548"/>
      <c r="BS43" s="1548"/>
      <c r="BT43" s="1548"/>
      <c r="BU43" s="1548"/>
      <c r="BV43" s="1548"/>
      <c r="BW43" s="1548"/>
      <c r="BX43" s="1548"/>
      <c r="BY43" s="1548"/>
      <c r="BZ43" s="1548"/>
      <c r="CA43" s="1548"/>
      <c r="CB43" s="1548"/>
      <c r="CC43" s="1548"/>
      <c r="CD43" s="1548"/>
      <c r="CE43" s="1548"/>
      <c r="CF43" s="1548"/>
      <c r="CG43" s="1548"/>
      <c r="CH43" s="1548"/>
      <c r="CI43" s="1548"/>
      <c r="CJ43" s="1548"/>
      <c r="CK43" s="1548"/>
      <c r="CL43" s="1548"/>
      <c r="CM43" s="1548"/>
      <c r="CN43" s="1548"/>
      <c r="CO43" s="1548"/>
      <c r="CP43" s="1548"/>
      <c r="CQ43" s="1548"/>
      <c r="CR43" s="1548"/>
      <c r="CS43" s="1548"/>
      <c r="CT43" s="1548"/>
      <c r="CU43" s="1548"/>
      <c r="CV43" s="1548"/>
      <c r="CW43" s="1548"/>
      <c r="CX43" s="1548"/>
      <c r="CY43" s="1548"/>
      <c r="CZ43" s="1548"/>
      <c r="DA43" s="1548"/>
      <c r="DB43" s="1548"/>
      <c r="DC43" s="1548"/>
      <c r="DD43" s="1548"/>
      <c r="DE43" s="1548"/>
      <c r="DF43" s="1548"/>
      <c r="DG43" s="1548"/>
      <c r="DH43" s="1548"/>
      <c r="DI43" s="1548"/>
      <c r="DJ43" s="1548"/>
      <c r="DK43" s="1548"/>
      <c r="DL43" s="1548"/>
      <c r="DM43" s="1548"/>
      <c r="DN43" s="1548"/>
      <c r="DO43" s="1548"/>
      <c r="DP43" s="1548"/>
      <c r="DQ43" s="1548"/>
      <c r="DR43" s="1548"/>
      <c r="DS43" s="1548"/>
      <c r="DT43" s="1548"/>
      <c r="DU43" s="1548"/>
      <c r="DV43" s="1548"/>
      <c r="DW43" s="1548"/>
      <c r="DX43" s="1548"/>
      <c r="DY43" s="1548"/>
      <c r="DZ43" s="1548"/>
      <c r="EA43" s="1548"/>
      <c r="EB43" s="1548"/>
      <c r="EC43" s="1548"/>
      <c r="ED43" s="1548"/>
      <c r="EE43" s="1548"/>
      <c r="EF43" s="1548"/>
      <c r="EG43" s="1548"/>
      <c r="EH43" s="1548"/>
      <c r="EI43" s="1548"/>
      <c r="EJ43" s="1548"/>
      <c r="EK43" s="1548"/>
      <c r="EL43" s="1548"/>
      <c r="EM43" s="1548"/>
      <c r="EN43" s="1548"/>
      <c r="EO43" s="1548"/>
      <c r="EP43" s="1548"/>
      <c r="EQ43" s="1548"/>
      <c r="ER43" s="1548"/>
      <c r="ES43" s="1548"/>
      <c r="ET43" s="1548"/>
      <c r="EU43" s="1548"/>
      <c r="EV43" s="1548"/>
      <c r="EW43" s="1548"/>
      <c r="EX43" s="1548"/>
      <c r="EY43" s="1548"/>
      <c r="EZ43" s="1548"/>
      <c r="FA43" s="1548"/>
      <c r="FB43" s="1548"/>
      <c r="FC43" s="1548"/>
      <c r="FD43" s="1548"/>
      <c r="FE43" s="1548"/>
      <c r="FF43" s="1548"/>
      <c r="FG43" s="1548"/>
      <c r="FH43" s="1548"/>
      <c r="FI43" s="1548"/>
      <c r="FJ43" s="1548"/>
      <c r="FK43" s="1548"/>
      <c r="FL43" s="1548"/>
      <c r="FM43" s="1548"/>
      <c r="FN43" s="1548"/>
      <c r="FO43" s="1548"/>
      <c r="FP43" s="1548"/>
      <c r="FQ43" s="1548"/>
      <c r="FR43" s="1548"/>
      <c r="FS43" s="1548"/>
      <c r="FT43" s="1548"/>
      <c r="FU43" s="1548"/>
      <c r="FV43" s="1548"/>
      <c r="FW43" s="1548"/>
      <c r="FX43" s="1548"/>
      <c r="FY43" s="1548"/>
      <c r="FZ43" s="1548"/>
      <c r="GA43" s="1548"/>
      <c r="GB43" s="1548"/>
      <c r="GC43" s="1548"/>
      <c r="GD43" s="1548"/>
      <c r="GE43" s="1548"/>
      <c r="GF43" s="1548"/>
      <c r="GG43" s="1548"/>
      <c r="GH43" s="1548"/>
      <c r="GI43" s="1548"/>
      <c r="GJ43" s="1548"/>
      <c r="GK43" s="1548"/>
      <c r="GL43" s="1548"/>
      <c r="GM43" s="1548"/>
      <c r="GN43" s="1548"/>
      <c r="GO43" s="1548"/>
      <c r="GP43" s="1548"/>
      <c r="GQ43" s="1548"/>
      <c r="GR43" s="1548"/>
      <c r="GS43" s="1548"/>
      <c r="GT43" s="1548"/>
      <c r="GU43" s="1548"/>
      <c r="GV43" s="1548"/>
      <c r="GW43" s="1548"/>
      <c r="GX43" s="1548"/>
      <c r="GY43" s="1548"/>
      <c r="GZ43" s="1548"/>
      <c r="HA43" s="1548"/>
      <c r="HB43" s="1548"/>
      <c r="HC43" s="1548"/>
      <c r="HD43" s="1548"/>
      <c r="HE43" s="1548"/>
      <c r="HF43" s="1548"/>
      <c r="HG43" s="1548"/>
      <c r="HH43" s="1548"/>
      <c r="HI43" s="1548"/>
      <c r="HJ43" s="1548"/>
      <c r="HK43" s="1548"/>
      <c r="HL43" s="1548"/>
      <c r="HM43" s="1548"/>
      <c r="HN43" s="1548"/>
      <c r="HO43" s="1548"/>
      <c r="HP43" s="1548"/>
      <c r="HQ43" s="1548"/>
      <c r="HR43" s="1548"/>
      <c r="HS43" s="1548"/>
      <c r="HT43" s="1548"/>
      <c r="HU43" s="1548"/>
      <c r="HV43" s="1548"/>
      <c r="HW43" s="1548"/>
      <c r="HX43" s="1548"/>
      <c r="HY43" s="1548"/>
      <c r="HZ43" s="1548"/>
      <c r="IA43" s="1548"/>
      <c r="IB43" s="1548"/>
      <c r="IC43" s="1548"/>
      <c r="ID43" s="1548"/>
      <c r="IE43" s="1548"/>
      <c r="IF43" s="1548"/>
      <c r="IG43" s="1548"/>
      <c r="IH43" s="1548"/>
      <c r="II43" s="1548"/>
      <c r="IJ43" s="1548"/>
      <c r="IK43" s="1548"/>
      <c r="IL43" s="1548"/>
      <c r="IM43" s="1548"/>
      <c r="IN43" s="1548"/>
      <c r="IO43" s="1548"/>
      <c r="IP43" s="1548"/>
      <c r="IQ43" s="1548"/>
      <c r="IR43" s="1548"/>
      <c r="IS43" s="1548"/>
      <c r="IT43" s="1548"/>
      <c r="IU43" s="1548"/>
      <c r="IV43" s="1548"/>
    </row>
    <row r="44" spans="1:256">
      <c r="A44" s="1541">
        <f>+A40+1</f>
        <v>24</v>
      </c>
      <c r="B44" s="1538" t="s">
        <v>512</v>
      </c>
      <c r="C44" s="629">
        <f>+H38</f>
        <v>0</v>
      </c>
      <c r="D44" s="629">
        <f>C44</f>
        <v>0</v>
      </c>
      <c r="E44" s="1538"/>
      <c r="F44" s="446">
        <v>365</v>
      </c>
      <c r="G44" s="1549">
        <f>F44/$F$18</f>
        <v>1</v>
      </c>
      <c r="H44" s="629">
        <f>C44*G44</f>
        <v>0</v>
      </c>
      <c r="I44" s="629">
        <f>H44</f>
        <v>0</v>
      </c>
      <c r="J44" s="1537"/>
      <c r="K44" s="1537"/>
      <c r="L44" s="1537"/>
      <c r="M44" s="1537"/>
      <c r="N44" s="1537"/>
      <c r="O44" s="1537"/>
      <c r="P44" s="1537"/>
      <c r="Q44" s="1537"/>
      <c r="R44" s="1537"/>
      <c r="S44" s="1537"/>
      <c r="T44" s="1537"/>
      <c r="U44" s="1537"/>
      <c r="V44" s="1537"/>
      <c r="W44" s="1537"/>
      <c r="X44" s="1537"/>
      <c r="Y44" s="1537"/>
      <c r="Z44" s="1537"/>
      <c r="AA44" s="1537"/>
      <c r="AB44" s="1537"/>
      <c r="AC44" s="1537"/>
      <c r="AD44" s="1537"/>
      <c r="AE44" s="1537"/>
      <c r="AF44" s="1537"/>
      <c r="AG44" s="1537"/>
      <c r="AH44" s="1537"/>
      <c r="AI44" s="1537"/>
      <c r="AJ44" s="1537"/>
      <c r="AK44" s="1537"/>
      <c r="AL44" s="1537"/>
      <c r="AM44" s="1537"/>
      <c r="AN44" s="1537"/>
      <c r="AO44" s="1537"/>
      <c r="AP44" s="1537"/>
      <c r="AQ44" s="1537"/>
      <c r="AR44" s="1537"/>
      <c r="AS44" s="1537"/>
      <c r="AT44" s="1537"/>
      <c r="AU44" s="1537"/>
      <c r="AV44" s="1537"/>
      <c r="AW44" s="1537"/>
      <c r="AX44" s="1537"/>
      <c r="AY44" s="1537"/>
      <c r="AZ44" s="1537"/>
      <c r="BA44" s="1537"/>
      <c r="BB44" s="1537"/>
      <c r="BC44" s="1537"/>
      <c r="BD44" s="1537"/>
      <c r="BE44" s="1537"/>
      <c r="BF44" s="1537"/>
      <c r="BG44" s="1537"/>
      <c r="BH44" s="1537"/>
      <c r="BI44" s="1537"/>
      <c r="BJ44" s="1537"/>
      <c r="BK44" s="1537"/>
      <c r="BL44" s="1537"/>
      <c r="BM44" s="1537"/>
      <c r="BN44" s="1537"/>
      <c r="BO44" s="1537"/>
      <c r="BP44" s="1537"/>
      <c r="BQ44" s="1537"/>
      <c r="BR44" s="1537"/>
      <c r="BS44" s="1537"/>
      <c r="BT44" s="1537"/>
      <c r="BU44" s="1537"/>
      <c r="BV44" s="1537"/>
      <c r="BW44" s="1537"/>
      <c r="BX44" s="1537"/>
      <c r="BY44" s="1537"/>
      <c r="BZ44" s="1537"/>
      <c r="CA44" s="1537"/>
      <c r="CB44" s="1537"/>
      <c r="CC44" s="1537"/>
      <c r="CD44" s="1537"/>
      <c r="CE44" s="1537"/>
      <c r="CF44" s="1537"/>
      <c r="CG44" s="1537"/>
      <c r="CH44" s="1537"/>
      <c r="CI44" s="1537"/>
      <c r="CJ44" s="1537"/>
      <c r="CK44" s="1537"/>
      <c r="CL44" s="1537"/>
      <c r="CM44" s="1537"/>
      <c r="CN44" s="1537"/>
      <c r="CO44" s="1537"/>
      <c r="CP44" s="1537"/>
      <c r="CQ44" s="1537"/>
      <c r="CR44" s="1537"/>
      <c r="CS44" s="1537"/>
      <c r="CT44" s="1537"/>
      <c r="CU44" s="1537"/>
      <c r="CV44" s="1537"/>
      <c r="CW44" s="1537"/>
      <c r="CX44" s="1537"/>
      <c r="CY44" s="1537"/>
      <c r="CZ44" s="1537"/>
      <c r="DA44" s="1537"/>
      <c r="DB44" s="1537"/>
      <c r="DC44" s="1537"/>
      <c r="DD44" s="1537"/>
      <c r="DE44" s="1537"/>
      <c r="DF44" s="1537"/>
      <c r="DG44" s="1537"/>
      <c r="DH44" s="1537"/>
      <c r="DI44" s="1537"/>
      <c r="DJ44" s="1537"/>
      <c r="DK44" s="1537"/>
      <c r="DL44" s="1537"/>
      <c r="DM44" s="1537"/>
      <c r="DN44" s="1537"/>
      <c r="DO44" s="1537"/>
      <c r="DP44" s="1537"/>
      <c r="DQ44" s="1537"/>
      <c r="DR44" s="1537"/>
      <c r="DS44" s="1537"/>
      <c r="DT44" s="1537"/>
      <c r="DU44" s="1537"/>
      <c r="DV44" s="1537"/>
      <c r="DW44" s="1537"/>
      <c r="DX44" s="1537"/>
      <c r="DY44" s="1537"/>
      <c r="DZ44" s="1537"/>
      <c r="EA44" s="1537"/>
      <c r="EB44" s="1537"/>
      <c r="EC44" s="1537"/>
      <c r="ED44" s="1537"/>
      <c r="EE44" s="1537"/>
      <c r="EF44" s="1537"/>
      <c r="EG44" s="1537"/>
      <c r="EH44" s="1537"/>
      <c r="EI44" s="1537"/>
      <c r="EJ44" s="1537"/>
      <c r="EK44" s="1537"/>
      <c r="EL44" s="1537"/>
      <c r="EM44" s="1537"/>
      <c r="EN44" s="1537"/>
      <c r="EO44" s="1537"/>
      <c r="EP44" s="1537"/>
      <c r="EQ44" s="1537"/>
      <c r="ER44" s="1537"/>
      <c r="ES44" s="1537"/>
      <c r="ET44" s="1537"/>
      <c r="EU44" s="1537"/>
      <c r="EV44" s="1537"/>
      <c r="EW44" s="1537"/>
      <c r="EX44" s="1537"/>
      <c r="EY44" s="1537"/>
      <c r="EZ44" s="1537"/>
      <c r="FA44" s="1537"/>
      <c r="FB44" s="1537"/>
      <c r="FC44" s="1537"/>
      <c r="FD44" s="1537"/>
      <c r="FE44" s="1537"/>
      <c r="FF44" s="1537"/>
      <c r="FG44" s="1537"/>
      <c r="FH44" s="1537"/>
      <c r="FI44" s="1537"/>
      <c r="FJ44" s="1537"/>
      <c r="FK44" s="1537"/>
      <c r="FL44" s="1537"/>
      <c r="FM44" s="1537"/>
      <c r="FN44" s="1537"/>
      <c r="FO44" s="1537"/>
      <c r="FP44" s="1537"/>
      <c r="FQ44" s="1537"/>
      <c r="FR44" s="1537"/>
      <c r="FS44" s="1537"/>
      <c r="FT44" s="1537"/>
      <c r="FU44" s="1537"/>
      <c r="FV44" s="1537"/>
      <c r="FW44" s="1537"/>
      <c r="FX44" s="1537"/>
      <c r="FY44" s="1537"/>
      <c r="FZ44" s="1537"/>
      <c r="GA44" s="1537"/>
      <c r="GB44" s="1537"/>
      <c r="GC44" s="1537"/>
      <c r="GD44" s="1537"/>
      <c r="GE44" s="1537"/>
      <c r="GF44" s="1537"/>
      <c r="GG44" s="1537"/>
      <c r="GH44" s="1537"/>
      <c r="GI44" s="1537"/>
      <c r="GJ44" s="1537"/>
      <c r="GK44" s="1537"/>
      <c r="GL44" s="1537"/>
      <c r="GM44" s="1537"/>
      <c r="GN44" s="1537"/>
      <c r="GO44" s="1537"/>
      <c r="GP44" s="1537"/>
      <c r="GQ44" s="1537"/>
      <c r="GR44" s="1537"/>
      <c r="GS44" s="1537"/>
      <c r="GT44" s="1537"/>
      <c r="GU44" s="1537"/>
      <c r="GV44" s="1537"/>
      <c r="GW44" s="1537"/>
      <c r="GX44" s="1537"/>
      <c r="GY44" s="1537"/>
      <c r="GZ44" s="1537"/>
      <c r="HA44" s="1537"/>
      <c r="HB44" s="1537"/>
      <c r="HC44" s="1537"/>
      <c r="HD44" s="1537"/>
      <c r="HE44" s="1537"/>
      <c r="HF44" s="1537"/>
      <c r="HG44" s="1537"/>
      <c r="HH44" s="1537"/>
      <c r="HI44" s="1537"/>
      <c r="HJ44" s="1537"/>
      <c r="HK44" s="1537"/>
      <c r="HL44" s="1537"/>
      <c r="HM44" s="1537"/>
      <c r="HN44" s="1537"/>
      <c r="HO44" s="1537"/>
      <c r="HP44" s="1537"/>
      <c r="HQ44" s="1537"/>
      <c r="HR44" s="1537"/>
      <c r="HS44" s="1537"/>
      <c r="HT44" s="1537"/>
      <c r="HU44" s="1537"/>
      <c r="HV44" s="1537"/>
      <c r="HW44" s="1537"/>
      <c r="HX44" s="1537"/>
      <c r="HY44" s="1537"/>
      <c r="HZ44" s="1537"/>
      <c r="IA44" s="1537"/>
      <c r="IB44" s="1537"/>
      <c r="IC44" s="1537"/>
      <c r="ID44" s="1537"/>
      <c r="IE44" s="1537"/>
      <c r="IF44" s="1537"/>
      <c r="IG44" s="1537"/>
      <c r="IH44" s="1537"/>
      <c r="II44" s="1537"/>
      <c r="IJ44" s="1537"/>
      <c r="IK44" s="1537"/>
      <c r="IL44" s="1537"/>
      <c r="IM44" s="1537"/>
      <c r="IN44" s="1537"/>
      <c r="IO44" s="1537"/>
      <c r="IP44" s="1537"/>
      <c r="IQ44" s="1537"/>
      <c r="IR44" s="1537"/>
      <c r="IS44" s="1537"/>
      <c r="IT44" s="1537"/>
      <c r="IU44" s="1537"/>
      <c r="IV44" s="1537"/>
    </row>
    <row r="45" spans="1:256">
      <c r="A45" s="1541">
        <f>+A44+1</f>
        <v>25</v>
      </c>
      <c r="B45" s="1538" t="s">
        <v>513</v>
      </c>
      <c r="C45" s="629">
        <f>+$H$40</f>
        <v>0</v>
      </c>
      <c r="D45" s="629">
        <f>D44+C45</f>
        <v>0</v>
      </c>
      <c r="E45" s="1538">
        <v>31</v>
      </c>
      <c r="F45" s="446">
        <v>335</v>
      </c>
      <c r="G45" s="1549">
        <f t="shared" ref="G45:G56" si="6">F45/$F$18</f>
        <v>0.9178082191780822</v>
      </c>
      <c r="H45" s="629">
        <f t="shared" ref="H45:H56" si="7">C45*G45</f>
        <v>0</v>
      </c>
      <c r="I45" s="629">
        <f t="shared" ref="I45:I56" si="8">I44+H45</f>
        <v>0</v>
      </c>
      <c r="J45" s="1537"/>
      <c r="K45" s="1537"/>
      <c r="L45" s="1537"/>
      <c r="M45" s="1537"/>
      <c r="N45" s="1537"/>
      <c r="O45" s="1537"/>
      <c r="P45" s="1537"/>
      <c r="Q45" s="1537"/>
      <c r="R45" s="1537"/>
      <c r="S45" s="1537"/>
      <c r="T45" s="1537"/>
      <c r="U45" s="1537"/>
      <c r="V45" s="1537"/>
      <c r="W45" s="1537"/>
      <c r="X45" s="1537"/>
      <c r="Y45" s="1537"/>
      <c r="Z45" s="1537"/>
      <c r="AA45" s="1537"/>
      <c r="AB45" s="1537"/>
      <c r="AC45" s="1537"/>
      <c r="AD45" s="1537"/>
      <c r="AE45" s="1537"/>
      <c r="AF45" s="1537"/>
      <c r="AG45" s="1537"/>
      <c r="AH45" s="1537"/>
      <c r="AI45" s="1537"/>
      <c r="AJ45" s="1537"/>
      <c r="AK45" s="1537"/>
      <c r="AL45" s="1537"/>
      <c r="AM45" s="1537"/>
      <c r="AN45" s="1537"/>
      <c r="AO45" s="1537"/>
      <c r="AP45" s="1537"/>
      <c r="AQ45" s="1537"/>
      <c r="AR45" s="1537"/>
      <c r="AS45" s="1537"/>
      <c r="AT45" s="1537"/>
      <c r="AU45" s="1537"/>
      <c r="AV45" s="1537"/>
      <c r="AW45" s="1537"/>
      <c r="AX45" s="1537"/>
      <c r="AY45" s="1537"/>
      <c r="AZ45" s="1537"/>
      <c r="BA45" s="1537"/>
      <c r="BB45" s="1537"/>
      <c r="BC45" s="1537"/>
      <c r="BD45" s="1537"/>
      <c r="BE45" s="1537"/>
      <c r="BF45" s="1537"/>
      <c r="BG45" s="1537"/>
      <c r="BH45" s="1537"/>
      <c r="BI45" s="1537"/>
      <c r="BJ45" s="1537"/>
      <c r="BK45" s="1537"/>
      <c r="BL45" s="1537"/>
      <c r="BM45" s="1537"/>
      <c r="BN45" s="1537"/>
      <c r="BO45" s="1537"/>
      <c r="BP45" s="1537"/>
      <c r="BQ45" s="1537"/>
      <c r="BR45" s="1537"/>
      <c r="BS45" s="1537"/>
      <c r="BT45" s="1537"/>
      <c r="BU45" s="1537"/>
      <c r="BV45" s="1537"/>
      <c r="BW45" s="1537"/>
      <c r="BX45" s="1537"/>
      <c r="BY45" s="1537"/>
      <c r="BZ45" s="1537"/>
      <c r="CA45" s="1537"/>
      <c r="CB45" s="1537"/>
      <c r="CC45" s="1537"/>
      <c r="CD45" s="1537"/>
      <c r="CE45" s="1537"/>
      <c r="CF45" s="1537"/>
      <c r="CG45" s="1537"/>
      <c r="CH45" s="1537"/>
      <c r="CI45" s="1537"/>
      <c r="CJ45" s="1537"/>
      <c r="CK45" s="1537"/>
      <c r="CL45" s="1537"/>
      <c r="CM45" s="1537"/>
      <c r="CN45" s="1537"/>
      <c r="CO45" s="1537"/>
      <c r="CP45" s="1537"/>
      <c r="CQ45" s="1537"/>
      <c r="CR45" s="1537"/>
      <c r="CS45" s="1537"/>
      <c r="CT45" s="1537"/>
      <c r="CU45" s="1537"/>
      <c r="CV45" s="1537"/>
      <c r="CW45" s="1537"/>
      <c r="CX45" s="1537"/>
      <c r="CY45" s="1537"/>
      <c r="CZ45" s="1537"/>
      <c r="DA45" s="1537"/>
      <c r="DB45" s="1537"/>
      <c r="DC45" s="1537"/>
      <c r="DD45" s="1537"/>
      <c r="DE45" s="1537"/>
      <c r="DF45" s="1537"/>
      <c r="DG45" s="1537"/>
      <c r="DH45" s="1537"/>
      <c r="DI45" s="1537"/>
      <c r="DJ45" s="1537"/>
      <c r="DK45" s="1537"/>
      <c r="DL45" s="1537"/>
      <c r="DM45" s="1537"/>
      <c r="DN45" s="1537"/>
      <c r="DO45" s="1537"/>
      <c r="DP45" s="1537"/>
      <c r="DQ45" s="1537"/>
      <c r="DR45" s="1537"/>
      <c r="DS45" s="1537"/>
      <c r="DT45" s="1537"/>
      <c r="DU45" s="1537"/>
      <c r="DV45" s="1537"/>
      <c r="DW45" s="1537"/>
      <c r="DX45" s="1537"/>
      <c r="DY45" s="1537"/>
      <c r="DZ45" s="1537"/>
      <c r="EA45" s="1537"/>
      <c r="EB45" s="1537"/>
      <c r="EC45" s="1537"/>
      <c r="ED45" s="1537"/>
      <c r="EE45" s="1537"/>
      <c r="EF45" s="1537"/>
      <c r="EG45" s="1537"/>
      <c r="EH45" s="1537"/>
      <c r="EI45" s="1537"/>
      <c r="EJ45" s="1537"/>
      <c r="EK45" s="1537"/>
      <c r="EL45" s="1537"/>
      <c r="EM45" s="1537"/>
      <c r="EN45" s="1537"/>
      <c r="EO45" s="1537"/>
      <c r="EP45" s="1537"/>
      <c r="EQ45" s="1537"/>
      <c r="ER45" s="1537"/>
      <c r="ES45" s="1537"/>
      <c r="ET45" s="1537"/>
      <c r="EU45" s="1537"/>
      <c r="EV45" s="1537"/>
      <c r="EW45" s="1537"/>
      <c r="EX45" s="1537"/>
      <c r="EY45" s="1537"/>
      <c r="EZ45" s="1537"/>
      <c r="FA45" s="1537"/>
      <c r="FB45" s="1537"/>
      <c r="FC45" s="1537"/>
      <c r="FD45" s="1537"/>
      <c r="FE45" s="1537"/>
      <c r="FF45" s="1537"/>
      <c r="FG45" s="1537"/>
      <c r="FH45" s="1537"/>
      <c r="FI45" s="1537"/>
      <c r="FJ45" s="1537"/>
      <c r="FK45" s="1537"/>
      <c r="FL45" s="1537"/>
      <c r="FM45" s="1537"/>
      <c r="FN45" s="1537"/>
      <c r="FO45" s="1537"/>
      <c r="FP45" s="1537"/>
      <c r="FQ45" s="1537"/>
      <c r="FR45" s="1537"/>
      <c r="FS45" s="1537"/>
      <c r="FT45" s="1537"/>
      <c r="FU45" s="1537"/>
      <c r="FV45" s="1537"/>
      <c r="FW45" s="1537"/>
      <c r="FX45" s="1537"/>
      <c r="FY45" s="1537"/>
      <c r="FZ45" s="1537"/>
      <c r="GA45" s="1537"/>
      <c r="GB45" s="1537"/>
      <c r="GC45" s="1537"/>
      <c r="GD45" s="1537"/>
      <c r="GE45" s="1537"/>
      <c r="GF45" s="1537"/>
      <c r="GG45" s="1537"/>
      <c r="GH45" s="1537"/>
      <c r="GI45" s="1537"/>
      <c r="GJ45" s="1537"/>
      <c r="GK45" s="1537"/>
      <c r="GL45" s="1537"/>
      <c r="GM45" s="1537"/>
      <c r="GN45" s="1537"/>
      <c r="GO45" s="1537"/>
      <c r="GP45" s="1537"/>
      <c r="GQ45" s="1537"/>
      <c r="GR45" s="1537"/>
      <c r="GS45" s="1537"/>
      <c r="GT45" s="1537"/>
      <c r="GU45" s="1537"/>
      <c r="GV45" s="1537"/>
      <c r="GW45" s="1537"/>
      <c r="GX45" s="1537"/>
      <c r="GY45" s="1537"/>
      <c r="GZ45" s="1537"/>
      <c r="HA45" s="1537"/>
      <c r="HB45" s="1537"/>
      <c r="HC45" s="1537"/>
      <c r="HD45" s="1537"/>
      <c r="HE45" s="1537"/>
      <c r="HF45" s="1537"/>
      <c r="HG45" s="1537"/>
      <c r="HH45" s="1537"/>
      <c r="HI45" s="1537"/>
      <c r="HJ45" s="1537"/>
      <c r="HK45" s="1537"/>
      <c r="HL45" s="1537"/>
      <c r="HM45" s="1537"/>
      <c r="HN45" s="1537"/>
      <c r="HO45" s="1537"/>
      <c r="HP45" s="1537"/>
      <c r="HQ45" s="1537"/>
      <c r="HR45" s="1537"/>
      <c r="HS45" s="1537"/>
      <c r="HT45" s="1537"/>
      <c r="HU45" s="1537"/>
      <c r="HV45" s="1537"/>
      <c r="HW45" s="1537"/>
      <c r="HX45" s="1537"/>
      <c r="HY45" s="1537"/>
      <c r="HZ45" s="1537"/>
      <c r="IA45" s="1537"/>
      <c r="IB45" s="1537"/>
      <c r="IC45" s="1537"/>
      <c r="ID45" s="1537"/>
      <c r="IE45" s="1537"/>
      <c r="IF45" s="1537"/>
      <c r="IG45" s="1537"/>
      <c r="IH45" s="1537"/>
      <c r="II45" s="1537"/>
      <c r="IJ45" s="1537"/>
      <c r="IK45" s="1537"/>
      <c r="IL45" s="1537"/>
      <c r="IM45" s="1537"/>
      <c r="IN45" s="1537"/>
      <c r="IO45" s="1537"/>
      <c r="IP45" s="1537"/>
      <c r="IQ45" s="1537"/>
      <c r="IR45" s="1537"/>
      <c r="IS45" s="1537"/>
      <c r="IT45" s="1537"/>
      <c r="IU45" s="1537"/>
      <c r="IV45" s="1537"/>
    </row>
    <row r="46" spans="1:256">
      <c r="A46" s="1541">
        <f t="shared" ref="A46:A56" si="9">+A45+1</f>
        <v>26</v>
      </c>
      <c r="B46" s="1538" t="s">
        <v>514</v>
      </c>
      <c r="C46" s="629">
        <f t="shared" ref="C46:C56" si="10">+$H$40</f>
        <v>0</v>
      </c>
      <c r="D46" s="629">
        <f>D45+C46</f>
        <v>0</v>
      </c>
      <c r="E46" s="446">
        <v>28</v>
      </c>
      <c r="F46" s="446">
        <v>307</v>
      </c>
      <c r="G46" s="1549">
        <f t="shared" si="6"/>
        <v>0.84109589041095889</v>
      </c>
      <c r="H46" s="629">
        <f t="shared" si="7"/>
        <v>0</v>
      </c>
      <c r="I46" s="629">
        <f t="shared" si="8"/>
        <v>0</v>
      </c>
      <c r="J46" s="1537"/>
      <c r="K46" s="1537"/>
      <c r="L46" s="1537"/>
      <c r="M46" s="1537"/>
      <c r="N46" s="1537"/>
      <c r="O46" s="1537"/>
      <c r="P46" s="1537"/>
      <c r="Q46" s="1537"/>
      <c r="R46" s="1537"/>
      <c r="S46" s="1537"/>
      <c r="T46" s="1537"/>
      <c r="U46" s="1537"/>
      <c r="V46" s="1537"/>
      <c r="W46" s="1537"/>
      <c r="X46" s="1537"/>
      <c r="Y46" s="1537"/>
      <c r="Z46" s="1537"/>
      <c r="AA46" s="1537"/>
      <c r="AB46" s="1537"/>
      <c r="AC46" s="1537"/>
      <c r="AD46" s="1537"/>
      <c r="AE46" s="1537"/>
      <c r="AF46" s="1537"/>
      <c r="AG46" s="1537"/>
      <c r="AH46" s="1537"/>
      <c r="AI46" s="1537"/>
      <c r="AJ46" s="1537"/>
      <c r="AK46" s="1537"/>
      <c r="AL46" s="1537"/>
      <c r="AM46" s="1537"/>
      <c r="AN46" s="1537"/>
      <c r="AO46" s="1537"/>
      <c r="AP46" s="1537"/>
      <c r="AQ46" s="1537"/>
      <c r="AR46" s="1537"/>
      <c r="AS46" s="1537"/>
      <c r="AT46" s="1537"/>
      <c r="AU46" s="1537"/>
      <c r="AV46" s="1537"/>
      <c r="AW46" s="1537"/>
      <c r="AX46" s="1537"/>
      <c r="AY46" s="1537"/>
      <c r="AZ46" s="1537"/>
      <c r="BA46" s="1537"/>
      <c r="BB46" s="1537"/>
      <c r="BC46" s="1537"/>
      <c r="BD46" s="1537"/>
      <c r="BE46" s="1537"/>
      <c r="BF46" s="1537"/>
      <c r="BG46" s="1537"/>
      <c r="BH46" s="1537"/>
      <c r="BI46" s="1537"/>
      <c r="BJ46" s="1537"/>
      <c r="BK46" s="1537"/>
      <c r="BL46" s="1537"/>
      <c r="BM46" s="1537"/>
      <c r="BN46" s="1537"/>
      <c r="BO46" s="1537"/>
      <c r="BP46" s="1537"/>
      <c r="BQ46" s="1537"/>
      <c r="BR46" s="1537"/>
      <c r="BS46" s="1537"/>
      <c r="BT46" s="1537"/>
      <c r="BU46" s="1537"/>
      <c r="BV46" s="1537"/>
      <c r="BW46" s="1537"/>
      <c r="BX46" s="1537"/>
      <c r="BY46" s="1537"/>
      <c r="BZ46" s="1537"/>
      <c r="CA46" s="1537"/>
      <c r="CB46" s="1537"/>
      <c r="CC46" s="1537"/>
      <c r="CD46" s="1537"/>
      <c r="CE46" s="1537"/>
      <c r="CF46" s="1537"/>
      <c r="CG46" s="1537"/>
      <c r="CH46" s="1537"/>
      <c r="CI46" s="1537"/>
      <c r="CJ46" s="1537"/>
      <c r="CK46" s="1537"/>
      <c r="CL46" s="1537"/>
      <c r="CM46" s="1537"/>
      <c r="CN46" s="1537"/>
      <c r="CO46" s="1537"/>
      <c r="CP46" s="1537"/>
      <c r="CQ46" s="1537"/>
      <c r="CR46" s="1537"/>
      <c r="CS46" s="1537"/>
      <c r="CT46" s="1537"/>
      <c r="CU46" s="1537"/>
      <c r="CV46" s="1537"/>
      <c r="CW46" s="1537"/>
      <c r="CX46" s="1537"/>
      <c r="CY46" s="1537"/>
      <c r="CZ46" s="1537"/>
      <c r="DA46" s="1537"/>
      <c r="DB46" s="1537"/>
      <c r="DC46" s="1537"/>
      <c r="DD46" s="1537"/>
      <c r="DE46" s="1537"/>
      <c r="DF46" s="1537"/>
      <c r="DG46" s="1537"/>
      <c r="DH46" s="1537"/>
      <c r="DI46" s="1537"/>
      <c r="DJ46" s="1537"/>
      <c r="DK46" s="1537"/>
      <c r="DL46" s="1537"/>
      <c r="DM46" s="1537"/>
      <c r="DN46" s="1537"/>
      <c r="DO46" s="1537"/>
      <c r="DP46" s="1537"/>
      <c r="DQ46" s="1537"/>
      <c r="DR46" s="1537"/>
      <c r="DS46" s="1537"/>
      <c r="DT46" s="1537"/>
      <c r="DU46" s="1537"/>
      <c r="DV46" s="1537"/>
      <c r="DW46" s="1537"/>
      <c r="DX46" s="1537"/>
      <c r="DY46" s="1537"/>
      <c r="DZ46" s="1537"/>
      <c r="EA46" s="1537"/>
      <c r="EB46" s="1537"/>
      <c r="EC46" s="1537"/>
      <c r="ED46" s="1537"/>
      <c r="EE46" s="1537"/>
      <c r="EF46" s="1537"/>
      <c r="EG46" s="1537"/>
      <c r="EH46" s="1537"/>
      <c r="EI46" s="1537"/>
      <c r="EJ46" s="1537"/>
      <c r="EK46" s="1537"/>
      <c r="EL46" s="1537"/>
      <c r="EM46" s="1537"/>
      <c r="EN46" s="1537"/>
      <c r="EO46" s="1537"/>
      <c r="EP46" s="1537"/>
      <c r="EQ46" s="1537"/>
      <c r="ER46" s="1537"/>
      <c r="ES46" s="1537"/>
      <c r="ET46" s="1537"/>
      <c r="EU46" s="1537"/>
      <c r="EV46" s="1537"/>
      <c r="EW46" s="1537"/>
      <c r="EX46" s="1537"/>
      <c r="EY46" s="1537"/>
      <c r="EZ46" s="1537"/>
      <c r="FA46" s="1537"/>
      <c r="FB46" s="1537"/>
      <c r="FC46" s="1537"/>
      <c r="FD46" s="1537"/>
      <c r="FE46" s="1537"/>
      <c r="FF46" s="1537"/>
      <c r="FG46" s="1537"/>
      <c r="FH46" s="1537"/>
      <c r="FI46" s="1537"/>
      <c r="FJ46" s="1537"/>
      <c r="FK46" s="1537"/>
      <c r="FL46" s="1537"/>
      <c r="FM46" s="1537"/>
      <c r="FN46" s="1537"/>
      <c r="FO46" s="1537"/>
      <c r="FP46" s="1537"/>
      <c r="FQ46" s="1537"/>
      <c r="FR46" s="1537"/>
      <c r="FS46" s="1537"/>
      <c r="FT46" s="1537"/>
      <c r="FU46" s="1537"/>
      <c r="FV46" s="1537"/>
      <c r="FW46" s="1537"/>
      <c r="FX46" s="1537"/>
      <c r="FY46" s="1537"/>
      <c r="FZ46" s="1537"/>
      <c r="GA46" s="1537"/>
      <c r="GB46" s="1537"/>
      <c r="GC46" s="1537"/>
      <c r="GD46" s="1537"/>
      <c r="GE46" s="1537"/>
      <c r="GF46" s="1537"/>
      <c r="GG46" s="1537"/>
      <c r="GH46" s="1537"/>
      <c r="GI46" s="1537"/>
      <c r="GJ46" s="1537"/>
      <c r="GK46" s="1537"/>
      <c r="GL46" s="1537"/>
      <c r="GM46" s="1537"/>
      <c r="GN46" s="1537"/>
      <c r="GO46" s="1537"/>
      <c r="GP46" s="1537"/>
      <c r="GQ46" s="1537"/>
      <c r="GR46" s="1537"/>
      <c r="GS46" s="1537"/>
      <c r="GT46" s="1537"/>
      <c r="GU46" s="1537"/>
      <c r="GV46" s="1537"/>
      <c r="GW46" s="1537"/>
      <c r="GX46" s="1537"/>
      <c r="GY46" s="1537"/>
      <c r="GZ46" s="1537"/>
      <c r="HA46" s="1537"/>
      <c r="HB46" s="1537"/>
      <c r="HC46" s="1537"/>
      <c r="HD46" s="1537"/>
      <c r="HE46" s="1537"/>
      <c r="HF46" s="1537"/>
      <c r="HG46" s="1537"/>
      <c r="HH46" s="1537"/>
      <c r="HI46" s="1537"/>
      <c r="HJ46" s="1537"/>
      <c r="HK46" s="1537"/>
      <c r="HL46" s="1537"/>
      <c r="HM46" s="1537"/>
      <c r="HN46" s="1537"/>
      <c r="HO46" s="1537"/>
      <c r="HP46" s="1537"/>
      <c r="HQ46" s="1537"/>
      <c r="HR46" s="1537"/>
      <c r="HS46" s="1537"/>
      <c r="HT46" s="1537"/>
      <c r="HU46" s="1537"/>
      <c r="HV46" s="1537"/>
      <c r="HW46" s="1537"/>
      <c r="HX46" s="1537"/>
      <c r="HY46" s="1537"/>
      <c r="HZ46" s="1537"/>
      <c r="IA46" s="1537"/>
      <c r="IB46" s="1537"/>
      <c r="IC46" s="1537"/>
      <c r="ID46" s="1537"/>
      <c r="IE46" s="1537"/>
      <c r="IF46" s="1537"/>
      <c r="IG46" s="1537"/>
      <c r="IH46" s="1537"/>
      <c r="II46" s="1537"/>
      <c r="IJ46" s="1537"/>
      <c r="IK46" s="1537"/>
      <c r="IL46" s="1537"/>
      <c r="IM46" s="1537"/>
      <c r="IN46" s="1537"/>
      <c r="IO46" s="1537"/>
      <c r="IP46" s="1537"/>
      <c r="IQ46" s="1537"/>
      <c r="IR46" s="1537"/>
      <c r="IS46" s="1537"/>
      <c r="IT46" s="1537"/>
      <c r="IU46" s="1537"/>
      <c r="IV46" s="1537"/>
    </row>
    <row r="47" spans="1:256">
      <c r="A47" s="1541">
        <f t="shared" si="9"/>
        <v>27</v>
      </c>
      <c r="B47" s="1538" t="s">
        <v>322</v>
      </c>
      <c r="C47" s="629">
        <f t="shared" si="10"/>
        <v>0</v>
      </c>
      <c r="D47" s="629">
        <f>D46+C47</f>
        <v>0</v>
      </c>
      <c r="E47" s="1538">
        <v>31</v>
      </c>
      <c r="F47" s="446">
        <v>276</v>
      </c>
      <c r="G47" s="1549">
        <f t="shared" si="6"/>
        <v>0.75616438356164384</v>
      </c>
      <c r="H47" s="629">
        <f t="shared" si="7"/>
        <v>0</v>
      </c>
      <c r="I47" s="629">
        <f t="shared" si="8"/>
        <v>0</v>
      </c>
      <c r="J47" s="1537"/>
      <c r="K47" s="1537"/>
      <c r="L47" s="1537"/>
      <c r="M47" s="1537"/>
      <c r="N47" s="1537"/>
      <c r="O47" s="1537"/>
      <c r="P47" s="1537"/>
      <c r="Q47" s="1537"/>
      <c r="R47" s="1537"/>
      <c r="S47" s="1537"/>
      <c r="T47" s="1537"/>
      <c r="U47" s="1537"/>
      <c r="V47" s="1537"/>
      <c r="W47" s="1537"/>
      <c r="X47" s="1537"/>
      <c r="Y47" s="1537"/>
      <c r="Z47" s="1537"/>
      <c r="AA47" s="1537"/>
      <c r="AB47" s="1537"/>
      <c r="AC47" s="1537"/>
      <c r="AD47" s="1537"/>
      <c r="AE47" s="1537"/>
      <c r="AF47" s="1537"/>
      <c r="AG47" s="1537"/>
      <c r="AH47" s="1537"/>
      <c r="AI47" s="1537"/>
      <c r="AJ47" s="1537"/>
      <c r="AK47" s="1537"/>
      <c r="AL47" s="1537"/>
      <c r="AM47" s="1537"/>
      <c r="AN47" s="1537"/>
      <c r="AO47" s="1537"/>
      <c r="AP47" s="1537"/>
      <c r="AQ47" s="1537"/>
      <c r="AR47" s="1537"/>
      <c r="AS47" s="1537"/>
      <c r="AT47" s="1537"/>
      <c r="AU47" s="1537"/>
      <c r="AV47" s="1537"/>
      <c r="AW47" s="1537"/>
      <c r="AX47" s="1537"/>
      <c r="AY47" s="1537"/>
      <c r="AZ47" s="1537"/>
      <c r="BA47" s="1537"/>
      <c r="BB47" s="1537"/>
      <c r="BC47" s="1537"/>
      <c r="BD47" s="1537"/>
      <c r="BE47" s="1537"/>
      <c r="BF47" s="1537"/>
      <c r="BG47" s="1537"/>
      <c r="BH47" s="1537"/>
      <c r="BI47" s="1537"/>
      <c r="BJ47" s="1537"/>
      <c r="BK47" s="1537"/>
      <c r="BL47" s="1537"/>
      <c r="BM47" s="1537"/>
      <c r="BN47" s="1537"/>
      <c r="BO47" s="1537"/>
      <c r="BP47" s="1537"/>
      <c r="BQ47" s="1537"/>
      <c r="BR47" s="1537"/>
      <c r="BS47" s="1537"/>
      <c r="BT47" s="1537"/>
      <c r="BU47" s="1537"/>
      <c r="BV47" s="1537"/>
      <c r="BW47" s="1537"/>
      <c r="BX47" s="1537"/>
      <c r="BY47" s="1537"/>
      <c r="BZ47" s="1537"/>
      <c r="CA47" s="1537"/>
      <c r="CB47" s="1537"/>
      <c r="CC47" s="1537"/>
      <c r="CD47" s="1537"/>
      <c r="CE47" s="1537"/>
      <c r="CF47" s="1537"/>
      <c r="CG47" s="1537"/>
      <c r="CH47" s="1537"/>
      <c r="CI47" s="1537"/>
      <c r="CJ47" s="1537"/>
      <c r="CK47" s="1537"/>
      <c r="CL47" s="1537"/>
      <c r="CM47" s="1537"/>
      <c r="CN47" s="1537"/>
      <c r="CO47" s="1537"/>
      <c r="CP47" s="1537"/>
      <c r="CQ47" s="1537"/>
      <c r="CR47" s="1537"/>
      <c r="CS47" s="1537"/>
      <c r="CT47" s="1537"/>
      <c r="CU47" s="1537"/>
      <c r="CV47" s="1537"/>
      <c r="CW47" s="1537"/>
      <c r="CX47" s="1537"/>
      <c r="CY47" s="1537"/>
      <c r="CZ47" s="1537"/>
      <c r="DA47" s="1537"/>
      <c r="DB47" s="1537"/>
      <c r="DC47" s="1537"/>
      <c r="DD47" s="1537"/>
      <c r="DE47" s="1537"/>
      <c r="DF47" s="1537"/>
      <c r="DG47" s="1537"/>
      <c r="DH47" s="1537"/>
      <c r="DI47" s="1537"/>
      <c r="DJ47" s="1537"/>
      <c r="DK47" s="1537"/>
      <c r="DL47" s="1537"/>
      <c r="DM47" s="1537"/>
      <c r="DN47" s="1537"/>
      <c r="DO47" s="1537"/>
      <c r="DP47" s="1537"/>
      <c r="DQ47" s="1537"/>
      <c r="DR47" s="1537"/>
      <c r="DS47" s="1537"/>
      <c r="DT47" s="1537"/>
      <c r="DU47" s="1537"/>
      <c r="DV47" s="1537"/>
      <c r="DW47" s="1537"/>
      <c r="DX47" s="1537"/>
      <c r="DY47" s="1537"/>
      <c r="DZ47" s="1537"/>
      <c r="EA47" s="1537"/>
      <c r="EB47" s="1537"/>
      <c r="EC47" s="1537"/>
      <c r="ED47" s="1537"/>
      <c r="EE47" s="1537"/>
      <c r="EF47" s="1537"/>
      <c r="EG47" s="1537"/>
      <c r="EH47" s="1537"/>
      <c r="EI47" s="1537"/>
      <c r="EJ47" s="1537"/>
      <c r="EK47" s="1537"/>
      <c r="EL47" s="1537"/>
      <c r="EM47" s="1537"/>
      <c r="EN47" s="1537"/>
      <c r="EO47" s="1537"/>
      <c r="EP47" s="1537"/>
      <c r="EQ47" s="1537"/>
      <c r="ER47" s="1537"/>
      <c r="ES47" s="1537"/>
      <c r="ET47" s="1537"/>
      <c r="EU47" s="1537"/>
      <c r="EV47" s="1537"/>
      <c r="EW47" s="1537"/>
      <c r="EX47" s="1537"/>
      <c r="EY47" s="1537"/>
      <c r="EZ47" s="1537"/>
      <c r="FA47" s="1537"/>
      <c r="FB47" s="1537"/>
      <c r="FC47" s="1537"/>
      <c r="FD47" s="1537"/>
      <c r="FE47" s="1537"/>
      <c r="FF47" s="1537"/>
      <c r="FG47" s="1537"/>
      <c r="FH47" s="1537"/>
      <c r="FI47" s="1537"/>
      <c r="FJ47" s="1537"/>
      <c r="FK47" s="1537"/>
      <c r="FL47" s="1537"/>
      <c r="FM47" s="1537"/>
      <c r="FN47" s="1537"/>
      <c r="FO47" s="1537"/>
      <c r="FP47" s="1537"/>
      <c r="FQ47" s="1537"/>
      <c r="FR47" s="1537"/>
      <c r="FS47" s="1537"/>
      <c r="FT47" s="1537"/>
      <c r="FU47" s="1537"/>
      <c r="FV47" s="1537"/>
      <c r="FW47" s="1537"/>
      <c r="FX47" s="1537"/>
      <c r="FY47" s="1537"/>
      <c r="FZ47" s="1537"/>
      <c r="GA47" s="1537"/>
      <c r="GB47" s="1537"/>
      <c r="GC47" s="1537"/>
      <c r="GD47" s="1537"/>
      <c r="GE47" s="1537"/>
      <c r="GF47" s="1537"/>
      <c r="GG47" s="1537"/>
      <c r="GH47" s="1537"/>
      <c r="GI47" s="1537"/>
      <c r="GJ47" s="1537"/>
      <c r="GK47" s="1537"/>
      <c r="GL47" s="1537"/>
      <c r="GM47" s="1537"/>
      <c r="GN47" s="1537"/>
      <c r="GO47" s="1537"/>
      <c r="GP47" s="1537"/>
      <c r="GQ47" s="1537"/>
      <c r="GR47" s="1537"/>
      <c r="GS47" s="1537"/>
      <c r="GT47" s="1537"/>
      <c r="GU47" s="1537"/>
      <c r="GV47" s="1537"/>
      <c r="GW47" s="1537"/>
      <c r="GX47" s="1537"/>
      <c r="GY47" s="1537"/>
      <c r="GZ47" s="1537"/>
      <c r="HA47" s="1537"/>
      <c r="HB47" s="1537"/>
      <c r="HC47" s="1537"/>
      <c r="HD47" s="1537"/>
      <c r="HE47" s="1537"/>
      <c r="HF47" s="1537"/>
      <c r="HG47" s="1537"/>
      <c r="HH47" s="1537"/>
      <c r="HI47" s="1537"/>
      <c r="HJ47" s="1537"/>
      <c r="HK47" s="1537"/>
      <c r="HL47" s="1537"/>
      <c r="HM47" s="1537"/>
      <c r="HN47" s="1537"/>
      <c r="HO47" s="1537"/>
      <c r="HP47" s="1537"/>
      <c r="HQ47" s="1537"/>
      <c r="HR47" s="1537"/>
      <c r="HS47" s="1537"/>
      <c r="HT47" s="1537"/>
      <c r="HU47" s="1537"/>
      <c r="HV47" s="1537"/>
      <c r="HW47" s="1537"/>
      <c r="HX47" s="1537"/>
      <c r="HY47" s="1537"/>
      <c r="HZ47" s="1537"/>
      <c r="IA47" s="1537"/>
      <c r="IB47" s="1537"/>
      <c r="IC47" s="1537"/>
      <c r="ID47" s="1537"/>
      <c r="IE47" s="1537"/>
      <c r="IF47" s="1537"/>
      <c r="IG47" s="1537"/>
      <c r="IH47" s="1537"/>
      <c r="II47" s="1537"/>
      <c r="IJ47" s="1537"/>
      <c r="IK47" s="1537"/>
      <c r="IL47" s="1537"/>
      <c r="IM47" s="1537"/>
      <c r="IN47" s="1537"/>
      <c r="IO47" s="1537"/>
      <c r="IP47" s="1537"/>
      <c r="IQ47" s="1537"/>
      <c r="IR47" s="1537"/>
      <c r="IS47" s="1537"/>
      <c r="IT47" s="1537"/>
      <c r="IU47" s="1537"/>
      <c r="IV47" s="1537"/>
    </row>
    <row r="48" spans="1:256">
      <c r="A48" s="1541">
        <f t="shared" si="9"/>
        <v>28</v>
      </c>
      <c r="B48" s="1538" t="s">
        <v>323</v>
      </c>
      <c r="C48" s="629">
        <f t="shared" si="10"/>
        <v>0</v>
      </c>
      <c r="D48" s="629">
        <f t="shared" ref="D48:D56" si="11">D47+C48</f>
        <v>0</v>
      </c>
      <c r="E48" s="1538">
        <v>30</v>
      </c>
      <c r="F48" s="446">
        <v>246</v>
      </c>
      <c r="G48" s="1549">
        <f t="shared" si="6"/>
        <v>0.67397260273972603</v>
      </c>
      <c r="H48" s="629">
        <f t="shared" si="7"/>
        <v>0</v>
      </c>
      <c r="I48" s="629">
        <f t="shared" si="8"/>
        <v>0</v>
      </c>
      <c r="J48" s="1537"/>
      <c r="K48" s="1537"/>
      <c r="L48" s="1537"/>
      <c r="M48" s="1537"/>
      <c r="N48" s="1537"/>
      <c r="O48" s="1537"/>
      <c r="P48" s="1537"/>
      <c r="Q48" s="1537"/>
      <c r="R48" s="1537"/>
      <c r="S48" s="1537"/>
      <c r="T48" s="1537"/>
      <c r="U48" s="1537"/>
      <c r="V48" s="1537"/>
      <c r="W48" s="1537"/>
      <c r="X48" s="1537"/>
      <c r="Y48" s="1537"/>
      <c r="Z48" s="1537"/>
      <c r="AA48" s="1537"/>
      <c r="AB48" s="1537"/>
      <c r="AC48" s="1537"/>
      <c r="AD48" s="1537"/>
      <c r="AE48" s="1537"/>
      <c r="AF48" s="1537"/>
      <c r="AG48" s="1537"/>
      <c r="AH48" s="1537"/>
      <c r="AI48" s="1537"/>
      <c r="AJ48" s="1537"/>
      <c r="AK48" s="1537"/>
      <c r="AL48" s="1537"/>
      <c r="AM48" s="1537"/>
      <c r="AN48" s="1537"/>
      <c r="AO48" s="1537"/>
      <c r="AP48" s="1537"/>
      <c r="AQ48" s="1537"/>
      <c r="AR48" s="1537"/>
      <c r="AS48" s="1537"/>
      <c r="AT48" s="1537"/>
      <c r="AU48" s="1537"/>
      <c r="AV48" s="1537"/>
      <c r="AW48" s="1537"/>
      <c r="AX48" s="1537"/>
      <c r="AY48" s="1537"/>
      <c r="AZ48" s="1537"/>
      <c r="BA48" s="1537"/>
      <c r="BB48" s="1537"/>
      <c r="BC48" s="1537"/>
      <c r="BD48" s="1537"/>
      <c r="BE48" s="1537"/>
      <c r="BF48" s="1537"/>
      <c r="BG48" s="1537"/>
      <c r="BH48" s="1537"/>
      <c r="BI48" s="1537"/>
      <c r="BJ48" s="1537"/>
      <c r="BK48" s="1537"/>
      <c r="BL48" s="1537"/>
      <c r="BM48" s="1537"/>
      <c r="BN48" s="1537"/>
      <c r="BO48" s="1537"/>
      <c r="BP48" s="1537"/>
      <c r="BQ48" s="1537"/>
      <c r="BR48" s="1537"/>
      <c r="BS48" s="1537"/>
      <c r="BT48" s="1537"/>
      <c r="BU48" s="1537"/>
      <c r="BV48" s="1537"/>
      <c r="BW48" s="1537"/>
      <c r="BX48" s="1537"/>
      <c r="BY48" s="1537"/>
      <c r="BZ48" s="1537"/>
      <c r="CA48" s="1537"/>
      <c r="CB48" s="1537"/>
      <c r="CC48" s="1537"/>
      <c r="CD48" s="1537"/>
      <c r="CE48" s="1537"/>
      <c r="CF48" s="1537"/>
      <c r="CG48" s="1537"/>
      <c r="CH48" s="1537"/>
      <c r="CI48" s="1537"/>
      <c r="CJ48" s="1537"/>
      <c r="CK48" s="1537"/>
      <c r="CL48" s="1537"/>
      <c r="CM48" s="1537"/>
      <c r="CN48" s="1537"/>
      <c r="CO48" s="1537"/>
      <c r="CP48" s="1537"/>
      <c r="CQ48" s="1537"/>
      <c r="CR48" s="1537"/>
      <c r="CS48" s="1537"/>
      <c r="CT48" s="1537"/>
      <c r="CU48" s="1537"/>
      <c r="CV48" s="1537"/>
      <c r="CW48" s="1537"/>
      <c r="CX48" s="1537"/>
      <c r="CY48" s="1537"/>
      <c r="CZ48" s="1537"/>
      <c r="DA48" s="1537"/>
      <c r="DB48" s="1537"/>
      <c r="DC48" s="1537"/>
      <c r="DD48" s="1537"/>
      <c r="DE48" s="1537"/>
      <c r="DF48" s="1537"/>
      <c r="DG48" s="1537"/>
      <c r="DH48" s="1537"/>
      <c r="DI48" s="1537"/>
      <c r="DJ48" s="1537"/>
      <c r="DK48" s="1537"/>
      <c r="DL48" s="1537"/>
      <c r="DM48" s="1537"/>
      <c r="DN48" s="1537"/>
      <c r="DO48" s="1537"/>
      <c r="DP48" s="1537"/>
      <c r="DQ48" s="1537"/>
      <c r="DR48" s="1537"/>
      <c r="DS48" s="1537"/>
      <c r="DT48" s="1537"/>
      <c r="DU48" s="1537"/>
      <c r="DV48" s="1537"/>
      <c r="DW48" s="1537"/>
      <c r="DX48" s="1537"/>
      <c r="DY48" s="1537"/>
      <c r="DZ48" s="1537"/>
      <c r="EA48" s="1537"/>
      <c r="EB48" s="1537"/>
      <c r="EC48" s="1537"/>
      <c r="ED48" s="1537"/>
      <c r="EE48" s="1537"/>
      <c r="EF48" s="1537"/>
      <c r="EG48" s="1537"/>
      <c r="EH48" s="1537"/>
      <c r="EI48" s="1537"/>
      <c r="EJ48" s="1537"/>
      <c r="EK48" s="1537"/>
      <c r="EL48" s="1537"/>
      <c r="EM48" s="1537"/>
      <c r="EN48" s="1537"/>
      <c r="EO48" s="1537"/>
      <c r="EP48" s="1537"/>
      <c r="EQ48" s="1537"/>
      <c r="ER48" s="1537"/>
      <c r="ES48" s="1537"/>
      <c r="ET48" s="1537"/>
      <c r="EU48" s="1537"/>
      <c r="EV48" s="1537"/>
      <c r="EW48" s="1537"/>
      <c r="EX48" s="1537"/>
      <c r="EY48" s="1537"/>
      <c r="EZ48" s="1537"/>
      <c r="FA48" s="1537"/>
      <c r="FB48" s="1537"/>
      <c r="FC48" s="1537"/>
      <c r="FD48" s="1537"/>
      <c r="FE48" s="1537"/>
      <c r="FF48" s="1537"/>
      <c r="FG48" s="1537"/>
      <c r="FH48" s="1537"/>
      <c r="FI48" s="1537"/>
      <c r="FJ48" s="1537"/>
      <c r="FK48" s="1537"/>
      <c r="FL48" s="1537"/>
      <c r="FM48" s="1537"/>
      <c r="FN48" s="1537"/>
      <c r="FO48" s="1537"/>
      <c r="FP48" s="1537"/>
      <c r="FQ48" s="1537"/>
      <c r="FR48" s="1537"/>
      <c r="FS48" s="1537"/>
      <c r="FT48" s="1537"/>
      <c r="FU48" s="1537"/>
      <c r="FV48" s="1537"/>
      <c r="FW48" s="1537"/>
      <c r="FX48" s="1537"/>
      <c r="FY48" s="1537"/>
      <c r="FZ48" s="1537"/>
      <c r="GA48" s="1537"/>
      <c r="GB48" s="1537"/>
      <c r="GC48" s="1537"/>
      <c r="GD48" s="1537"/>
      <c r="GE48" s="1537"/>
      <c r="GF48" s="1537"/>
      <c r="GG48" s="1537"/>
      <c r="GH48" s="1537"/>
      <c r="GI48" s="1537"/>
      <c r="GJ48" s="1537"/>
      <c r="GK48" s="1537"/>
      <c r="GL48" s="1537"/>
      <c r="GM48" s="1537"/>
      <c r="GN48" s="1537"/>
      <c r="GO48" s="1537"/>
      <c r="GP48" s="1537"/>
      <c r="GQ48" s="1537"/>
      <c r="GR48" s="1537"/>
      <c r="GS48" s="1537"/>
      <c r="GT48" s="1537"/>
      <c r="GU48" s="1537"/>
      <c r="GV48" s="1537"/>
      <c r="GW48" s="1537"/>
      <c r="GX48" s="1537"/>
      <c r="GY48" s="1537"/>
      <c r="GZ48" s="1537"/>
      <c r="HA48" s="1537"/>
      <c r="HB48" s="1537"/>
      <c r="HC48" s="1537"/>
      <c r="HD48" s="1537"/>
      <c r="HE48" s="1537"/>
      <c r="HF48" s="1537"/>
      <c r="HG48" s="1537"/>
      <c r="HH48" s="1537"/>
      <c r="HI48" s="1537"/>
      <c r="HJ48" s="1537"/>
      <c r="HK48" s="1537"/>
      <c r="HL48" s="1537"/>
      <c r="HM48" s="1537"/>
      <c r="HN48" s="1537"/>
      <c r="HO48" s="1537"/>
      <c r="HP48" s="1537"/>
      <c r="HQ48" s="1537"/>
      <c r="HR48" s="1537"/>
      <c r="HS48" s="1537"/>
      <c r="HT48" s="1537"/>
      <c r="HU48" s="1537"/>
      <c r="HV48" s="1537"/>
      <c r="HW48" s="1537"/>
      <c r="HX48" s="1537"/>
      <c r="HY48" s="1537"/>
      <c r="HZ48" s="1537"/>
      <c r="IA48" s="1537"/>
      <c r="IB48" s="1537"/>
      <c r="IC48" s="1537"/>
      <c r="ID48" s="1537"/>
      <c r="IE48" s="1537"/>
      <c r="IF48" s="1537"/>
      <c r="IG48" s="1537"/>
      <c r="IH48" s="1537"/>
      <c r="II48" s="1537"/>
      <c r="IJ48" s="1537"/>
      <c r="IK48" s="1537"/>
      <c r="IL48" s="1537"/>
      <c r="IM48" s="1537"/>
      <c r="IN48" s="1537"/>
      <c r="IO48" s="1537"/>
      <c r="IP48" s="1537"/>
      <c r="IQ48" s="1537"/>
      <c r="IR48" s="1537"/>
      <c r="IS48" s="1537"/>
      <c r="IT48" s="1537"/>
      <c r="IU48" s="1537"/>
      <c r="IV48" s="1537"/>
    </row>
    <row r="49" spans="1:256">
      <c r="A49" s="1541">
        <f t="shared" si="9"/>
        <v>29</v>
      </c>
      <c r="B49" s="1538" t="s">
        <v>324</v>
      </c>
      <c r="C49" s="629">
        <f t="shared" si="10"/>
        <v>0</v>
      </c>
      <c r="D49" s="629">
        <f t="shared" si="11"/>
        <v>0</v>
      </c>
      <c r="E49" s="1538">
        <v>31</v>
      </c>
      <c r="F49" s="446">
        <v>215</v>
      </c>
      <c r="G49" s="1549">
        <f t="shared" si="6"/>
        <v>0.58904109589041098</v>
      </c>
      <c r="H49" s="629">
        <f t="shared" si="7"/>
        <v>0</v>
      </c>
      <c r="I49" s="629">
        <f t="shared" si="8"/>
        <v>0</v>
      </c>
      <c r="J49" s="1537"/>
      <c r="K49" s="1537"/>
      <c r="L49" s="1537"/>
      <c r="M49" s="1537"/>
      <c r="N49" s="1537"/>
      <c r="O49" s="1537"/>
      <c r="P49" s="1537"/>
      <c r="Q49" s="1537"/>
      <c r="R49" s="1537"/>
      <c r="S49" s="1537"/>
      <c r="T49" s="1537"/>
      <c r="U49" s="1537"/>
      <c r="V49" s="1537"/>
      <c r="W49" s="1537"/>
      <c r="X49" s="1537"/>
      <c r="Y49" s="1537"/>
      <c r="Z49" s="1537"/>
      <c r="AA49" s="1537"/>
      <c r="AB49" s="1537"/>
      <c r="AC49" s="1537"/>
      <c r="AD49" s="1537"/>
      <c r="AE49" s="1537"/>
      <c r="AF49" s="1537"/>
      <c r="AG49" s="1537"/>
      <c r="AH49" s="1537"/>
      <c r="AI49" s="1537"/>
      <c r="AJ49" s="1537"/>
      <c r="AK49" s="1537"/>
      <c r="AL49" s="1537"/>
      <c r="AM49" s="1537"/>
      <c r="AN49" s="1537"/>
      <c r="AO49" s="1537"/>
      <c r="AP49" s="1537"/>
      <c r="AQ49" s="1537"/>
      <c r="AR49" s="1537"/>
      <c r="AS49" s="1537"/>
      <c r="AT49" s="1537"/>
      <c r="AU49" s="1537"/>
      <c r="AV49" s="1537"/>
      <c r="AW49" s="1537"/>
      <c r="AX49" s="1537"/>
      <c r="AY49" s="1537"/>
      <c r="AZ49" s="1537"/>
      <c r="BA49" s="1537"/>
      <c r="BB49" s="1537"/>
      <c r="BC49" s="1537"/>
      <c r="BD49" s="1537"/>
      <c r="BE49" s="1537"/>
      <c r="BF49" s="1537"/>
      <c r="BG49" s="1537"/>
      <c r="BH49" s="1537"/>
      <c r="BI49" s="1537"/>
      <c r="BJ49" s="1537"/>
      <c r="BK49" s="1537"/>
      <c r="BL49" s="1537"/>
      <c r="BM49" s="1537"/>
      <c r="BN49" s="1537"/>
      <c r="BO49" s="1537"/>
      <c r="BP49" s="1537"/>
      <c r="BQ49" s="1537"/>
      <c r="BR49" s="1537"/>
      <c r="BS49" s="1537"/>
      <c r="BT49" s="1537"/>
      <c r="BU49" s="1537"/>
      <c r="BV49" s="1537"/>
      <c r="BW49" s="1537"/>
      <c r="BX49" s="1537"/>
      <c r="BY49" s="1537"/>
      <c r="BZ49" s="1537"/>
      <c r="CA49" s="1537"/>
      <c r="CB49" s="1537"/>
      <c r="CC49" s="1537"/>
      <c r="CD49" s="1537"/>
      <c r="CE49" s="1537"/>
      <c r="CF49" s="1537"/>
      <c r="CG49" s="1537"/>
      <c r="CH49" s="1537"/>
      <c r="CI49" s="1537"/>
      <c r="CJ49" s="1537"/>
      <c r="CK49" s="1537"/>
      <c r="CL49" s="1537"/>
      <c r="CM49" s="1537"/>
      <c r="CN49" s="1537"/>
      <c r="CO49" s="1537"/>
      <c r="CP49" s="1537"/>
      <c r="CQ49" s="1537"/>
      <c r="CR49" s="1537"/>
      <c r="CS49" s="1537"/>
      <c r="CT49" s="1537"/>
      <c r="CU49" s="1537"/>
      <c r="CV49" s="1537"/>
      <c r="CW49" s="1537"/>
      <c r="CX49" s="1537"/>
      <c r="CY49" s="1537"/>
      <c r="CZ49" s="1537"/>
      <c r="DA49" s="1537"/>
      <c r="DB49" s="1537"/>
      <c r="DC49" s="1537"/>
      <c r="DD49" s="1537"/>
      <c r="DE49" s="1537"/>
      <c r="DF49" s="1537"/>
      <c r="DG49" s="1537"/>
      <c r="DH49" s="1537"/>
      <c r="DI49" s="1537"/>
      <c r="DJ49" s="1537"/>
      <c r="DK49" s="1537"/>
      <c r="DL49" s="1537"/>
      <c r="DM49" s="1537"/>
      <c r="DN49" s="1537"/>
      <c r="DO49" s="1537"/>
      <c r="DP49" s="1537"/>
      <c r="DQ49" s="1537"/>
      <c r="DR49" s="1537"/>
      <c r="DS49" s="1537"/>
      <c r="DT49" s="1537"/>
      <c r="DU49" s="1537"/>
      <c r="DV49" s="1537"/>
      <c r="DW49" s="1537"/>
      <c r="DX49" s="1537"/>
      <c r="DY49" s="1537"/>
      <c r="DZ49" s="1537"/>
      <c r="EA49" s="1537"/>
      <c r="EB49" s="1537"/>
      <c r="EC49" s="1537"/>
      <c r="ED49" s="1537"/>
      <c r="EE49" s="1537"/>
      <c r="EF49" s="1537"/>
      <c r="EG49" s="1537"/>
      <c r="EH49" s="1537"/>
      <c r="EI49" s="1537"/>
      <c r="EJ49" s="1537"/>
      <c r="EK49" s="1537"/>
      <c r="EL49" s="1537"/>
      <c r="EM49" s="1537"/>
      <c r="EN49" s="1537"/>
      <c r="EO49" s="1537"/>
      <c r="EP49" s="1537"/>
      <c r="EQ49" s="1537"/>
      <c r="ER49" s="1537"/>
      <c r="ES49" s="1537"/>
      <c r="ET49" s="1537"/>
      <c r="EU49" s="1537"/>
      <c r="EV49" s="1537"/>
      <c r="EW49" s="1537"/>
      <c r="EX49" s="1537"/>
      <c r="EY49" s="1537"/>
      <c r="EZ49" s="1537"/>
      <c r="FA49" s="1537"/>
      <c r="FB49" s="1537"/>
      <c r="FC49" s="1537"/>
      <c r="FD49" s="1537"/>
      <c r="FE49" s="1537"/>
      <c r="FF49" s="1537"/>
      <c r="FG49" s="1537"/>
      <c r="FH49" s="1537"/>
      <c r="FI49" s="1537"/>
      <c r="FJ49" s="1537"/>
      <c r="FK49" s="1537"/>
      <c r="FL49" s="1537"/>
      <c r="FM49" s="1537"/>
      <c r="FN49" s="1537"/>
      <c r="FO49" s="1537"/>
      <c r="FP49" s="1537"/>
      <c r="FQ49" s="1537"/>
      <c r="FR49" s="1537"/>
      <c r="FS49" s="1537"/>
      <c r="FT49" s="1537"/>
      <c r="FU49" s="1537"/>
      <c r="FV49" s="1537"/>
      <c r="FW49" s="1537"/>
      <c r="FX49" s="1537"/>
      <c r="FY49" s="1537"/>
      <c r="FZ49" s="1537"/>
      <c r="GA49" s="1537"/>
      <c r="GB49" s="1537"/>
      <c r="GC49" s="1537"/>
      <c r="GD49" s="1537"/>
      <c r="GE49" s="1537"/>
      <c r="GF49" s="1537"/>
      <c r="GG49" s="1537"/>
      <c r="GH49" s="1537"/>
      <c r="GI49" s="1537"/>
      <c r="GJ49" s="1537"/>
      <c r="GK49" s="1537"/>
      <c r="GL49" s="1537"/>
      <c r="GM49" s="1537"/>
      <c r="GN49" s="1537"/>
      <c r="GO49" s="1537"/>
      <c r="GP49" s="1537"/>
      <c r="GQ49" s="1537"/>
      <c r="GR49" s="1537"/>
      <c r="GS49" s="1537"/>
      <c r="GT49" s="1537"/>
      <c r="GU49" s="1537"/>
      <c r="GV49" s="1537"/>
      <c r="GW49" s="1537"/>
      <c r="GX49" s="1537"/>
      <c r="GY49" s="1537"/>
      <c r="GZ49" s="1537"/>
      <c r="HA49" s="1537"/>
      <c r="HB49" s="1537"/>
      <c r="HC49" s="1537"/>
      <c r="HD49" s="1537"/>
      <c r="HE49" s="1537"/>
      <c r="HF49" s="1537"/>
      <c r="HG49" s="1537"/>
      <c r="HH49" s="1537"/>
      <c r="HI49" s="1537"/>
      <c r="HJ49" s="1537"/>
      <c r="HK49" s="1537"/>
      <c r="HL49" s="1537"/>
      <c r="HM49" s="1537"/>
      <c r="HN49" s="1537"/>
      <c r="HO49" s="1537"/>
      <c r="HP49" s="1537"/>
      <c r="HQ49" s="1537"/>
      <c r="HR49" s="1537"/>
      <c r="HS49" s="1537"/>
      <c r="HT49" s="1537"/>
      <c r="HU49" s="1537"/>
      <c r="HV49" s="1537"/>
      <c r="HW49" s="1537"/>
      <c r="HX49" s="1537"/>
      <c r="HY49" s="1537"/>
      <c r="HZ49" s="1537"/>
      <c r="IA49" s="1537"/>
      <c r="IB49" s="1537"/>
      <c r="IC49" s="1537"/>
      <c r="ID49" s="1537"/>
      <c r="IE49" s="1537"/>
      <c r="IF49" s="1537"/>
      <c r="IG49" s="1537"/>
      <c r="IH49" s="1537"/>
      <c r="II49" s="1537"/>
      <c r="IJ49" s="1537"/>
      <c r="IK49" s="1537"/>
      <c r="IL49" s="1537"/>
      <c r="IM49" s="1537"/>
      <c r="IN49" s="1537"/>
      <c r="IO49" s="1537"/>
      <c r="IP49" s="1537"/>
      <c r="IQ49" s="1537"/>
      <c r="IR49" s="1537"/>
      <c r="IS49" s="1537"/>
      <c r="IT49" s="1537"/>
      <c r="IU49" s="1537"/>
      <c r="IV49" s="1537"/>
    </row>
    <row r="50" spans="1:256">
      <c r="A50" s="1541">
        <f t="shared" si="9"/>
        <v>30</v>
      </c>
      <c r="B50" s="1538" t="s">
        <v>48</v>
      </c>
      <c r="C50" s="629">
        <f t="shared" si="10"/>
        <v>0</v>
      </c>
      <c r="D50" s="629">
        <f t="shared" si="11"/>
        <v>0</v>
      </c>
      <c r="E50" s="1538">
        <v>30</v>
      </c>
      <c r="F50" s="446">
        <v>185</v>
      </c>
      <c r="G50" s="1549">
        <f t="shared" si="6"/>
        <v>0.50684931506849318</v>
      </c>
      <c r="H50" s="629">
        <f t="shared" si="7"/>
        <v>0</v>
      </c>
      <c r="I50" s="629">
        <f t="shared" si="8"/>
        <v>0</v>
      </c>
      <c r="J50" s="1537"/>
      <c r="K50" s="1537"/>
      <c r="L50" s="1537"/>
      <c r="M50" s="1537"/>
      <c r="N50" s="1537"/>
      <c r="O50" s="1537"/>
      <c r="P50" s="1537"/>
      <c r="Q50" s="1537"/>
      <c r="R50" s="1537"/>
      <c r="S50" s="1537"/>
      <c r="T50" s="1537"/>
      <c r="U50" s="1537"/>
      <c r="V50" s="1537"/>
      <c r="W50" s="1537"/>
      <c r="X50" s="1537"/>
      <c r="Y50" s="1537"/>
      <c r="Z50" s="1537"/>
      <c r="AA50" s="1537"/>
      <c r="AB50" s="1537"/>
      <c r="AC50" s="1537"/>
      <c r="AD50" s="1537"/>
      <c r="AE50" s="1537"/>
      <c r="AF50" s="1537"/>
      <c r="AG50" s="1537"/>
      <c r="AH50" s="1537"/>
      <c r="AI50" s="1537"/>
      <c r="AJ50" s="1537"/>
      <c r="AK50" s="1537"/>
      <c r="AL50" s="1537"/>
      <c r="AM50" s="1537"/>
      <c r="AN50" s="1537"/>
      <c r="AO50" s="1537"/>
      <c r="AP50" s="1537"/>
      <c r="AQ50" s="1537"/>
      <c r="AR50" s="1537"/>
      <c r="AS50" s="1537"/>
      <c r="AT50" s="1537"/>
      <c r="AU50" s="1537"/>
      <c r="AV50" s="1537"/>
      <c r="AW50" s="1537"/>
      <c r="AX50" s="1537"/>
      <c r="AY50" s="1537"/>
      <c r="AZ50" s="1537"/>
      <c r="BA50" s="1537"/>
      <c r="BB50" s="1537"/>
      <c r="BC50" s="1537"/>
      <c r="BD50" s="1537"/>
      <c r="BE50" s="1537"/>
      <c r="BF50" s="1537"/>
      <c r="BG50" s="1537"/>
      <c r="BH50" s="1537"/>
      <c r="BI50" s="1537"/>
      <c r="BJ50" s="1537"/>
      <c r="BK50" s="1537"/>
      <c r="BL50" s="1537"/>
      <c r="BM50" s="1537"/>
      <c r="BN50" s="1537"/>
      <c r="BO50" s="1537"/>
      <c r="BP50" s="1537"/>
      <c r="BQ50" s="1537"/>
      <c r="BR50" s="1537"/>
      <c r="BS50" s="1537"/>
      <c r="BT50" s="1537"/>
      <c r="BU50" s="1537"/>
      <c r="BV50" s="1537"/>
      <c r="BW50" s="1537"/>
      <c r="BX50" s="1537"/>
      <c r="BY50" s="1537"/>
      <c r="BZ50" s="1537"/>
      <c r="CA50" s="1537"/>
      <c r="CB50" s="1537"/>
      <c r="CC50" s="1537"/>
      <c r="CD50" s="1537"/>
      <c r="CE50" s="1537"/>
      <c r="CF50" s="1537"/>
      <c r="CG50" s="1537"/>
      <c r="CH50" s="1537"/>
      <c r="CI50" s="1537"/>
      <c r="CJ50" s="1537"/>
      <c r="CK50" s="1537"/>
      <c r="CL50" s="1537"/>
      <c r="CM50" s="1537"/>
      <c r="CN50" s="1537"/>
      <c r="CO50" s="1537"/>
      <c r="CP50" s="1537"/>
      <c r="CQ50" s="1537"/>
      <c r="CR50" s="1537"/>
      <c r="CS50" s="1537"/>
      <c r="CT50" s="1537"/>
      <c r="CU50" s="1537"/>
      <c r="CV50" s="1537"/>
      <c r="CW50" s="1537"/>
      <c r="CX50" s="1537"/>
      <c r="CY50" s="1537"/>
      <c r="CZ50" s="1537"/>
      <c r="DA50" s="1537"/>
      <c r="DB50" s="1537"/>
      <c r="DC50" s="1537"/>
      <c r="DD50" s="1537"/>
      <c r="DE50" s="1537"/>
      <c r="DF50" s="1537"/>
      <c r="DG50" s="1537"/>
      <c r="DH50" s="1537"/>
      <c r="DI50" s="1537"/>
      <c r="DJ50" s="1537"/>
      <c r="DK50" s="1537"/>
      <c r="DL50" s="1537"/>
      <c r="DM50" s="1537"/>
      <c r="DN50" s="1537"/>
      <c r="DO50" s="1537"/>
      <c r="DP50" s="1537"/>
      <c r="DQ50" s="1537"/>
      <c r="DR50" s="1537"/>
      <c r="DS50" s="1537"/>
      <c r="DT50" s="1537"/>
      <c r="DU50" s="1537"/>
      <c r="DV50" s="1537"/>
      <c r="DW50" s="1537"/>
      <c r="DX50" s="1537"/>
      <c r="DY50" s="1537"/>
      <c r="DZ50" s="1537"/>
      <c r="EA50" s="1537"/>
      <c r="EB50" s="1537"/>
      <c r="EC50" s="1537"/>
      <c r="ED50" s="1537"/>
      <c r="EE50" s="1537"/>
      <c r="EF50" s="1537"/>
      <c r="EG50" s="1537"/>
      <c r="EH50" s="1537"/>
      <c r="EI50" s="1537"/>
      <c r="EJ50" s="1537"/>
      <c r="EK50" s="1537"/>
      <c r="EL50" s="1537"/>
      <c r="EM50" s="1537"/>
      <c r="EN50" s="1537"/>
      <c r="EO50" s="1537"/>
      <c r="EP50" s="1537"/>
      <c r="EQ50" s="1537"/>
      <c r="ER50" s="1537"/>
      <c r="ES50" s="1537"/>
      <c r="ET50" s="1537"/>
      <c r="EU50" s="1537"/>
      <c r="EV50" s="1537"/>
      <c r="EW50" s="1537"/>
      <c r="EX50" s="1537"/>
      <c r="EY50" s="1537"/>
      <c r="EZ50" s="1537"/>
      <c r="FA50" s="1537"/>
      <c r="FB50" s="1537"/>
      <c r="FC50" s="1537"/>
      <c r="FD50" s="1537"/>
      <c r="FE50" s="1537"/>
      <c r="FF50" s="1537"/>
      <c r="FG50" s="1537"/>
      <c r="FH50" s="1537"/>
      <c r="FI50" s="1537"/>
      <c r="FJ50" s="1537"/>
      <c r="FK50" s="1537"/>
      <c r="FL50" s="1537"/>
      <c r="FM50" s="1537"/>
      <c r="FN50" s="1537"/>
      <c r="FO50" s="1537"/>
      <c r="FP50" s="1537"/>
      <c r="FQ50" s="1537"/>
      <c r="FR50" s="1537"/>
      <c r="FS50" s="1537"/>
      <c r="FT50" s="1537"/>
      <c r="FU50" s="1537"/>
      <c r="FV50" s="1537"/>
      <c r="FW50" s="1537"/>
      <c r="FX50" s="1537"/>
      <c r="FY50" s="1537"/>
      <c r="FZ50" s="1537"/>
      <c r="GA50" s="1537"/>
      <c r="GB50" s="1537"/>
      <c r="GC50" s="1537"/>
      <c r="GD50" s="1537"/>
      <c r="GE50" s="1537"/>
      <c r="GF50" s="1537"/>
      <c r="GG50" s="1537"/>
      <c r="GH50" s="1537"/>
      <c r="GI50" s="1537"/>
      <c r="GJ50" s="1537"/>
      <c r="GK50" s="1537"/>
      <c r="GL50" s="1537"/>
      <c r="GM50" s="1537"/>
      <c r="GN50" s="1537"/>
      <c r="GO50" s="1537"/>
      <c r="GP50" s="1537"/>
      <c r="GQ50" s="1537"/>
      <c r="GR50" s="1537"/>
      <c r="GS50" s="1537"/>
      <c r="GT50" s="1537"/>
      <c r="GU50" s="1537"/>
      <c r="GV50" s="1537"/>
      <c r="GW50" s="1537"/>
      <c r="GX50" s="1537"/>
      <c r="GY50" s="1537"/>
      <c r="GZ50" s="1537"/>
      <c r="HA50" s="1537"/>
      <c r="HB50" s="1537"/>
      <c r="HC50" s="1537"/>
      <c r="HD50" s="1537"/>
      <c r="HE50" s="1537"/>
      <c r="HF50" s="1537"/>
      <c r="HG50" s="1537"/>
      <c r="HH50" s="1537"/>
      <c r="HI50" s="1537"/>
      <c r="HJ50" s="1537"/>
      <c r="HK50" s="1537"/>
      <c r="HL50" s="1537"/>
      <c r="HM50" s="1537"/>
      <c r="HN50" s="1537"/>
      <c r="HO50" s="1537"/>
      <c r="HP50" s="1537"/>
      <c r="HQ50" s="1537"/>
      <c r="HR50" s="1537"/>
      <c r="HS50" s="1537"/>
      <c r="HT50" s="1537"/>
      <c r="HU50" s="1537"/>
      <c r="HV50" s="1537"/>
      <c r="HW50" s="1537"/>
      <c r="HX50" s="1537"/>
      <c r="HY50" s="1537"/>
      <c r="HZ50" s="1537"/>
      <c r="IA50" s="1537"/>
      <c r="IB50" s="1537"/>
      <c r="IC50" s="1537"/>
      <c r="ID50" s="1537"/>
      <c r="IE50" s="1537"/>
      <c r="IF50" s="1537"/>
      <c r="IG50" s="1537"/>
      <c r="IH50" s="1537"/>
      <c r="II50" s="1537"/>
      <c r="IJ50" s="1537"/>
      <c r="IK50" s="1537"/>
      <c r="IL50" s="1537"/>
      <c r="IM50" s="1537"/>
      <c r="IN50" s="1537"/>
      <c r="IO50" s="1537"/>
      <c r="IP50" s="1537"/>
      <c r="IQ50" s="1537"/>
      <c r="IR50" s="1537"/>
      <c r="IS50" s="1537"/>
      <c r="IT50" s="1537"/>
      <c r="IU50" s="1537"/>
      <c r="IV50" s="1537"/>
    </row>
    <row r="51" spans="1:256">
      <c r="A51" s="1541">
        <f t="shared" si="9"/>
        <v>31</v>
      </c>
      <c r="B51" s="1538" t="s">
        <v>325</v>
      </c>
      <c r="C51" s="629">
        <f t="shared" si="10"/>
        <v>0</v>
      </c>
      <c r="D51" s="629">
        <f t="shared" si="11"/>
        <v>0</v>
      </c>
      <c r="E51" s="1538">
        <v>31</v>
      </c>
      <c r="F51" s="446">
        <v>154</v>
      </c>
      <c r="G51" s="1549">
        <f t="shared" si="6"/>
        <v>0.42191780821917807</v>
      </c>
      <c r="H51" s="629">
        <f t="shared" si="7"/>
        <v>0</v>
      </c>
      <c r="I51" s="629">
        <f t="shared" si="8"/>
        <v>0</v>
      </c>
      <c r="J51" s="1537"/>
      <c r="K51" s="1537"/>
      <c r="L51" s="1537"/>
      <c r="M51" s="1537"/>
      <c r="N51" s="1537"/>
      <c r="O51" s="1537"/>
      <c r="P51" s="1537"/>
      <c r="Q51" s="1537"/>
      <c r="R51" s="1537"/>
      <c r="S51" s="1537"/>
      <c r="T51" s="1537"/>
      <c r="U51" s="1537"/>
      <c r="V51" s="1537"/>
      <c r="W51" s="1537"/>
      <c r="X51" s="1537"/>
      <c r="Y51" s="1537"/>
      <c r="Z51" s="1537"/>
      <c r="AA51" s="1537"/>
      <c r="AB51" s="1537"/>
      <c r="AC51" s="1537"/>
      <c r="AD51" s="1537"/>
      <c r="AE51" s="1537"/>
      <c r="AF51" s="1537"/>
      <c r="AG51" s="1537"/>
      <c r="AH51" s="1537"/>
      <c r="AI51" s="1537"/>
      <c r="AJ51" s="1537"/>
      <c r="AK51" s="1537"/>
      <c r="AL51" s="1537"/>
      <c r="AM51" s="1537"/>
      <c r="AN51" s="1537"/>
      <c r="AO51" s="1537"/>
      <c r="AP51" s="1537"/>
      <c r="AQ51" s="1537"/>
      <c r="AR51" s="1537"/>
      <c r="AS51" s="1537"/>
      <c r="AT51" s="1537"/>
      <c r="AU51" s="1537"/>
      <c r="AV51" s="1537"/>
      <c r="AW51" s="1537"/>
      <c r="AX51" s="1537"/>
      <c r="AY51" s="1537"/>
      <c r="AZ51" s="1537"/>
      <c r="BA51" s="1537"/>
      <c r="BB51" s="1537"/>
      <c r="BC51" s="1537"/>
      <c r="BD51" s="1537"/>
      <c r="BE51" s="1537"/>
      <c r="BF51" s="1537"/>
      <c r="BG51" s="1537"/>
      <c r="BH51" s="1537"/>
      <c r="BI51" s="1537"/>
      <c r="BJ51" s="1537"/>
      <c r="BK51" s="1537"/>
      <c r="BL51" s="1537"/>
      <c r="BM51" s="1537"/>
      <c r="BN51" s="1537"/>
      <c r="BO51" s="1537"/>
      <c r="BP51" s="1537"/>
      <c r="BQ51" s="1537"/>
      <c r="BR51" s="1537"/>
      <c r="BS51" s="1537"/>
      <c r="BT51" s="1537"/>
      <c r="BU51" s="1537"/>
      <c r="BV51" s="1537"/>
      <c r="BW51" s="1537"/>
      <c r="BX51" s="1537"/>
      <c r="BY51" s="1537"/>
      <c r="BZ51" s="1537"/>
      <c r="CA51" s="1537"/>
      <c r="CB51" s="1537"/>
      <c r="CC51" s="1537"/>
      <c r="CD51" s="1537"/>
      <c r="CE51" s="1537"/>
      <c r="CF51" s="1537"/>
      <c r="CG51" s="1537"/>
      <c r="CH51" s="1537"/>
      <c r="CI51" s="1537"/>
      <c r="CJ51" s="1537"/>
      <c r="CK51" s="1537"/>
      <c r="CL51" s="1537"/>
      <c r="CM51" s="1537"/>
      <c r="CN51" s="1537"/>
      <c r="CO51" s="1537"/>
      <c r="CP51" s="1537"/>
      <c r="CQ51" s="1537"/>
      <c r="CR51" s="1537"/>
      <c r="CS51" s="1537"/>
      <c r="CT51" s="1537"/>
      <c r="CU51" s="1537"/>
      <c r="CV51" s="1537"/>
      <c r="CW51" s="1537"/>
      <c r="CX51" s="1537"/>
      <c r="CY51" s="1537"/>
      <c r="CZ51" s="1537"/>
      <c r="DA51" s="1537"/>
      <c r="DB51" s="1537"/>
      <c r="DC51" s="1537"/>
      <c r="DD51" s="1537"/>
      <c r="DE51" s="1537"/>
      <c r="DF51" s="1537"/>
      <c r="DG51" s="1537"/>
      <c r="DH51" s="1537"/>
      <c r="DI51" s="1537"/>
      <c r="DJ51" s="1537"/>
      <c r="DK51" s="1537"/>
      <c r="DL51" s="1537"/>
      <c r="DM51" s="1537"/>
      <c r="DN51" s="1537"/>
      <c r="DO51" s="1537"/>
      <c r="DP51" s="1537"/>
      <c r="DQ51" s="1537"/>
      <c r="DR51" s="1537"/>
      <c r="DS51" s="1537"/>
      <c r="DT51" s="1537"/>
      <c r="DU51" s="1537"/>
      <c r="DV51" s="1537"/>
      <c r="DW51" s="1537"/>
      <c r="DX51" s="1537"/>
      <c r="DY51" s="1537"/>
      <c r="DZ51" s="1537"/>
      <c r="EA51" s="1537"/>
      <c r="EB51" s="1537"/>
      <c r="EC51" s="1537"/>
      <c r="ED51" s="1537"/>
      <c r="EE51" s="1537"/>
      <c r="EF51" s="1537"/>
      <c r="EG51" s="1537"/>
      <c r="EH51" s="1537"/>
      <c r="EI51" s="1537"/>
      <c r="EJ51" s="1537"/>
      <c r="EK51" s="1537"/>
      <c r="EL51" s="1537"/>
      <c r="EM51" s="1537"/>
      <c r="EN51" s="1537"/>
      <c r="EO51" s="1537"/>
      <c r="EP51" s="1537"/>
      <c r="EQ51" s="1537"/>
      <c r="ER51" s="1537"/>
      <c r="ES51" s="1537"/>
      <c r="ET51" s="1537"/>
      <c r="EU51" s="1537"/>
      <c r="EV51" s="1537"/>
      <c r="EW51" s="1537"/>
      <c r="EX51" s="1537"/>
      <c r="EY51" s="1537"/>
      <c r="EZ51" s="1537"/>
      <c r="FA51" s="1537"/>
      <c r="FB51" s="1537"/>
      <c r="FC51" s="1537"/>
      <c r="FD51" s="1537"/>
      <c r="FE51" s="1537"/>
      <c r="FF51" s="1537"/>
      <c r="FG51" s="1537"/>
      <c r="FH51" s="1537"/>
      <c r="FI51" s="1537"/>
      <c r="FJ51" s="1537"/>
      <c r="FK51" s="1537"/>
      <c r="FL51" s="1537"/>
      <c r="FM51" s="1537"/>
      <c r="FN51" s="1537"/>
      <c r="FO51" s="1537"/>
      <c r="FP51" s="1537"/>
      <c r="FQ51" s="1537"/>
      <c r="FR51" s="1537"/>
      <c r="FS51" s="1537"/>
      <c r="FT51" s="1537"/>
      <c r="FU51" s="1537"/>
      <c r="FV51" s="1537"/>
      <c r="FW51" s="1537"/>
      <c r="FX51" s="1537"/>
      <c r="FY51" s="1537"/>
      <c r="FZ51" s="1537"/>
      <c r="GA51" s="1537"/>
      <c r="GB51" s="1537"/>
      <c r="GC51" s="1537"/>
      <c r="GD51" s="1537"/>
      <c r="GE51" s="1537"/>
      <c r="GF51" s="1537"/>
      <c r="GG51" s="1537"/>
      <c r="GH51" s="1537"/>
      <c r="GI51" s="1537"/>
      <c r="GJ51" s="1537"/>
      <c r="GK51" s="1537"/>
      <c r="GL51" s="1537"/>
      <c r="GM51" s="1537"/>
      <c r="GN51" s="1537"/>
      <c r="GO51" s="1537"/>
      <c r="GP51" s="1537"/>
      <c r="GQ51" s="1537"/>
      <c r="GR51" s="1537"/>
      <c r="GS51" s="1537"/>
      <c r="GT51" s="1537"/>
      <c r="GU51" s="1537"/>
      <c r="GV51" s="1537"/>
      <c r="GW51" s="1537"/>
      <c r="GX51" s="1537"/>
      <c r="GY51" s="1537"/>
      <c r="GZ51" s="1537"/>
      <c r="HA51" s="1537"/>
      <c r="HB51" s="1537"/>
      <c r="HC51" s="1537"/>
      <c r="HD51" s="1537"/>
      <c r="HE51" s="1537"/>
      <c r="HF51" s="1537"/>
      <c r="HG51" s="1537"/>
      <c r="HH51" s="1537"/>
      <c r="HI51" s="1537"/>
      <c r="HJ51" s="1537"/>
      <c r="HK51" s="1537"/>
      <c r="HL51" s="1537"/>
      <c r="HM51" s="1537"/>
      <c r="HN51" s="1537"/>
      <c r="HO51" s="1537"/>
      <c r="HP51" s="1537"/>
      <c r="HQ51" s="1537"/>
      <c r="HR51" s="1537"/>
      <c r="HS51" s="1537"/>
      <c r="HT51" s="1537"/>
      <c r="HU51" s="1537"/>
      <c r="HV51" s="1537"/>
      <c r="HW51" s="1537"/>
      <c r="HX51" s="1537"/>
      <c r="HY51" s="1537"/>
      <c r="HZ51" s="1537"/>
      <c r="IA51" s="1537"/>
      <c r="IB51" s="1537"/>
      <c r="IC51" s="1537"/>
      <c r="ID51" s="1537"/>
      <c r="IE51" s="1537"/>
      <c r="IF51" s="1537"/>
      <c r="IG51" s="1537"/>
      <c r="IH51" s="1537"/>
      <c r="II51" s="1537"/>
      <c r="IJ51" s="1537"/>
      <c r="IK51" s="1537"/>
      <c r="IL51" s="1537"/>
      <c r="IM51" s="1537"/>
      <c r="IN51" s="1537"/>
      <c r="IO51" s="1537"/>
      <c r="IP51" s="1537"/>
      <c r="IQ51" s="1537"/>
      <c r="IR51" s="1537"/>
      <c r="IS51" s="1537"/>
      <c r="IT51" s="1537"/>
      <c r="IU51" s="1537"/>
      <c r="IV51" s="1537"/>
    </row>
    <row r="52" spans="1:256">
      <c r="A52" s="1541">
        <f t="shared" si="9"/>
        <v>32</v>
      </c>
      <c r="B52" s="1538" t="s">
        <v>326</v>
      </c>
      <c r="C52" s="629">
        <f t="shared" si="10"/>
        <v>0</v>
      </c>
      <c r="D52" s="629">
        <f t="shared" si="11"/>
        <v>0</v>
      </c>
      <c r="E52" s="1538">
        <v>31</v>
      </c>
      <c r="F52" s="446">
        <v>123</v>
      </c>
      <c r="G52" s="1549">
        <f t="shared" si="6"/>
        <v>0.33698630136986302</v>
      </c>
      <c r="H52" s="629">
        <f t="shared" si="7"/>
        <v>0</v>
      </c>
      <c r="I52" s="629">
        <f t="shared" si="8"/>
        <v>0</v>
      </c>
      <c r="J52" s="1537"/>
      <c r="K52" s="1537"/>
      <c r="L52" s="1537"/>
      <c r="M52" s="1537"/>
      <c r="N52" s="1537"/>
      <c r="O52" s="1537"/>
      <c r="P52" s="1537"/>
      <c r="Q52" s="1537"/>
      <c r="R52" s="1537"/>
      <c r="S52" s="1537"/>
      <c r="T52" s="1537"/>
      <c r="U52" s="1537"/>
      <c r="V52" s="1537"/>
      <c r="W52" s="1537"/>
      <c r="X52" s="1537"/>
      <c r="Y52" s="1537"/>
      <c r="Z52" s="1537"/>
      <c r="AA52" s="1537"/>
      <c r="AB52" s="1537"/>
      <c r="AC52" s="1537"/>
      <c r="AD52" s="1537"/>
      <c r="AE52" s="1537"/>
      <c r="AF52" s="1537"/>
      <c r="AG52" s="1537"/>
      <c r="AH52" s="1537"/>
      <c r="AI52" s="1537"/>
      <c r="AJ52" s="1537"/>
      <c r="AK52" s="1537"/>
      <c r="AL52" s="1537"/>
      <c r="AM52" s="1537"/>
      <c r="AN52" s="1537"/>
      <c r="AO52" s="1537"/>
      <c r="AP52" s="1537"/>
      <c r="AQ52" s="1537"/>
      <c r="AR52" s="1537"/>
      <c r="AS52" s="1537"/>
      <c r="AT52" s="1537"/>
      <c r="AU52" s="1537"/>
      <c r="AV52" s="1537"/>
      <c r="AW52" s="1537"/>
      <c r="AX52" s="1537"/>
      <c r="AY52" s="1537"/>
      <c r="AZ52" s="1537"/>
      <c r="BA52" s="1537"/>
      <c r="BB52" s="1537"/>
      <c r="BC52" s="1537"/>
      <c r="BD52" s="1537"/>
      <c r="BE52" s="1537"/>
      <c r="BF52" s="1537"/>
      <c r="BG52" s="1537"/>
      <c r="BH52" s="1537"/>
      <c r="BI52" s="1537"/>
      <c r="BJ52" s="1537"/>
      <c r="BK52" s="1537"/>
      <c r="BL52" s="1537"/>
      <c r="BM52" s="1537"/>
      <c r="BN52" s="1537"/>
      <c r="BO52" s="1537"/>
      <c r="BP52" s="1537"/>
      <c r="BQ52" s="1537"/>
      <c r="BR52" s="1537"/>
      <c r="BS52" s="1537"/>
      <c r="BT52" s="1537"/>
      <c r="BU52" s="1537"/>
      <c r="BV52" s="1537"/>
      <c r="BW52" s="1537"/>
      <c r="BX52" s="1537"/>
      <c r="BY52" s="1537"/>
      <c r="BZ52" s="1537"/>
      <c r="CA52" s="1537"/>
      <c r="CB52" s="1537"/>
      <c r="CC52" s="1537"/>
      <c r="CD52" s="1537"/>
      <c r="CE52" s="1537"/>
      <c r="CF52" s="1537"/>
      <c r="CG52" s="1537"/>
      <c r="CH52" s="1537"/>
      <c r="CI52" s="1537"/>
      <c r="CJ52" s="1537"/>
      <c r="CK52" s="1537"/>
      <c r="CL52" s="1537"/>
      <c r="CM52" s="1537"/>
      <c r="CN52" s="1537"/>
      <c r="CO52" s="1537"/>
      <c r="CP52" s="1537"/>
      <c r="CQ52" s="1537"/>
      <c r="CR52" s="1537"/>
      <c r="CS52" s="1537"/>
      <c r="CT52" s="1537"/>
      <c r="CU52" s="1537"/>
      <c r="CV52" s="1537"/>
      <c r="CW52" s="1537"/>
      <c r="CX52" s="1537"/>
      <c r="CY52" s="1537"/>
      <c r="CZ52" s="1537"/>
      <c r="DA52" s="1537"/>
      <c r="DB52" s="1537"/>
      <c r="DC52" s="1537"/>
      <c r="DD52" s="1537"/>
      <c r="DE52" s="1537"/>
      <c r="DF52" s="1537"/>
      <c r="DG52" s="1537"/>
      <c r="DH52" s="1537"/>
      <c r="DI52" s="1537"/>
      <c r="DJ52" s="1537"/>
      <c r="DK52" s="1537"/>
      <c r="DL52" s="1537"/>
      <c r="DM52" s="1537"/>
      <c r="DN52" s="1537"/>
      <c r="DO52" s="1537"/>
      <c r="DP52" s="1537"/>
      <c r="DQ52" s="1537"/>
      <c r="DR52" s="1537"/>
      <c r="DS52" s="1537"/>
      <c r="DT52" s="1537"/>
      <c r="DU52" s="1537"/>
      <c r="DV52" s="1537"/>
      <c r="DW52" s="1537"/>
      <c r="DX52" s="1537"/>
      <c r="DY52" s="1537"/>
      <c r="DZ52" s="1537"/>
      <c r="EA52" s="1537"/>
      <c r="EB52" s="1537"/>
      <c r="EC52" s="1537"/>
      <c r="ED52" s="1537"/>
      <c r="EE52" s="1537"/>
      <c r="EF52" s="1537"/>
      <c r="EG52" s="1537"/>
      <c r="EH52" s="1537"/>
      <c r="EI52" s="1537"/>
      <c r="EJ52" s="1537"/>
      <c r="EK52" s="1537"/>
      <c r="EL52" s="1537"/>
      <c r="EM52" s="1537"/>
      <c r="EN52" s="1537"/>
      <c r="EO52" s="1537"/>
      <c r="EP52" s="1537"/>
      <c r="EQ52" s="1537"/>
      <c r="ER52" s="1537"/>
      <c r="ES52" s="1537"/>
      <c r="ET52" s="1537"/>
      <c r="EU52" s="1537"/>
      <c r="EV52" s="1537"/>
      <c r="EW52" s="1537"/>
      <c r="EX52" s="1537"/>
      <c r="EY52" s="1537"/>
      <c r="EZ52" s="1537"/>
      <c r="FA52" s="1537"/>
      <c r="FB52" s="1537"/>
      <c r="FC52" s="1537"/>
      <c r="FD52" s="1537"/>
      <c r="FE52" s="1537"/>
      <c r="FF52" s="1537"/>
      <c r="FG52" s="1537"/>
      <c r="FH52" s="1537"/>
      <c r="FI52" s="1537"/>
      <c r="FJ52" s="1537"/>
      <c r="FK52" s="1537"/>
      <c r="FL52" s="1537"/>
      <c r="FM52" s="1537"/>
      <c r="FN52" s="1537"/>
      <c r="FO52" s="1537"/>
      <c r="FP52" s="1537"/>
      <c r="FQ52" s="1537"/>
      <c r="FR52" s="1537"/>
      <c r="FS52" s="1537"/>
      <c r="FT52" s="1537"/>
      <c r="FU52" s="1537"/>
      <c r="FV52" s="1537"/>
      <c r="FW52" s="1537"/>
      <c r="FX52" s="1537"/>
      <c r="FY52" s="1537"/>
      <c r="FZ52" s="1537"/>
      <c r="GA52" s="1537"/>
      <c r="GB52" s="1537"/>
      <c r="GC52" s="1537"/>
      <c r="GD52" s="1537"/>
      <c r="GE52" s="1537"/>
      <c r="GF52" s="1537"/>
      <c r="GG52" s="1537"/>
      <c r="GH52" s="1537"/>
      <c r="GI52" s="1537"/>
      <c r="GJ52" s="1537"/>
      <c r="GK52" s="1537"/>
      <c r="GL52" s="1537"/>
      <c r="GM52" s="1537"/>
      <c r="GN52" s="1537"/>
      <c r="GO52" s="1537"/>
      <c r="GP52" s="1537"/>
      <c r="GQ52" s="1537"/>
      <c r="GR52" s="1537"/>
      <c r="GS52" s="1537"/>
      <c r="GT52" s="1537"/>
      <c r="GU52" s="1537"/>
      <c r="GV52" s="1537"/>
      <c r="GW52" s="1537"/>
      <c r="GX52" s="1537"/>
      <c r="GY52" s="1537"/>
      <c r="GZ52" s="1537"/>
      <c r="HA52" s="1537"/>
      <c r="HB52" s="1537"/>
      <c r="HC52" s="1537"/>
      <c r="HD52" s="1537"/>
      <c r="HE52" s="1537"/>
      <c r="HF52" s="1537"/>
      <c r="HG52" s="1537"/>
      <c r="HH52" s="1537"/>
      <c r="HI52" s="1537"/>
      <c r="HJ52" s="1537"/>
      <c r="HK52" s="1537"/>
      <c r="HL52" s="1537"/>
      <c r="HM52" s="1537"/>
      <c r="HN52" s="1537"/>
      <c r="HO52" s="1537"/>
      <c r="HP52" s="1537"/>
      <c r="HQ52" s="1537"/>
      <c r="HR52" s="1537"/>
      <c r="HS52" s="1537"/>
      <c r="HT52" s="1537"/>
      <c r="HU52" s="1537"/>
      <c r="HV52" s="1537"/>
      <c r="HW52" s="1537"/>
      <c r="HX52" s="1537"/>
      <c r="HY52" s="1537"/>
      <c r="HZ52" s="1537"/>
      <c r="IA52" s="1537"/>
      <c r="IB52" s="1537"/>
      <c r="IC52" s="1537"/>
      <c r="ID52" s="1537"/>
      <c r="IE52" s="1537"/>
      <c r="IF52" s="1537"/>
      <c r="IG52" s="1537"/>
      <c r="IH52" s="1537"/>
      <c r="II52" s="1537"/>
      <c r="IJ52" s="1537"/>
      <c r="IK52" s="1537"/>
      <c r="IL52" s="1537"/>
      <c r="IM52" s="1537"/>
      <c r="IN52" s="1537"/>
      <c r="IO52" s="1537"/>
      <c r="IP52" s="1537"/>
      <c r="IQ52" s="1537"/>
      <c r="IR52" s="1537"/>
      <c r="IS52" s="1537"/>
      <c r="IT52" s="1537"/>
      <c r="IU52" s="1537"/>
      <c r="IV52" s="1537"/>
    </row>
    <row r="53" spans="1:256">
      <c r="A53" s="1541">
        <f t="shared" si="9"/>
        <v>33</v>
      </c>
      <c r="B53" s="1538" t="s">
        <v>328</v>
      </c>
      <c r="C53" s="629">
        <f t="shared" si="10"/>
        <v>0</v>
      </c>
      <c r="D53" s="629">
        <f t="shared" si="11"/>
        <v>0</v>
      </c>
      <c r="E53" s="1538">
        <v>30</v>
      </c>
      <c r="F53" s="446">
        <v>93</v>
      </c>
      <c r="G53" s="1549">
        <f t="shared" si="6"/>
        <v>0.25479452054794521</v>
      </c>
      <c r="H53" s="629">
        <f t="shared" si="7"/>
        <v>0</v>
      </c>
      <c r="I53" s="629">
        <f t="shared" si="8"/>
        <v>0</v>
      </c>
      <c r="J53" s="1537"/>
      <c r="K53" s="1537"/>
      <c r="L53" s="1537"/>
      <c r="M53" s="1537"/>
      <c r="N53" s="1537"/>
      <c r="O53" s="1537"/>
      <c r="P53" s="1537"/>
      <c r="Q53" s="1537"/>
      <c r="R53" s="1537"/>
      <c r="S53" s="1537"/>
      <c r="T53" s="1537"/>
      <c r="U53" s="1537"/>
      <c r="V53" s="1537"/>
      <c r="W53" s="1537"/>
      <c r="X53" s="1537"/>
      <c r="Y53" s="1537"/>
      <c r="Z53" s="1537"/>
      <c r="AA53" s="1537"/>
      <c r="AB53" s="1537"/>
      <c r="AC53" s="1537"/>
      <c r="AD53" s="1537"/>
      <c r="AE53" s="1537"/>
      <c r="AF53" s="1537"/>
      <c r="AG53" s="1537"/>
      <c r="AH53" s="1537"/>
      <c r="AI53" s="1537"/>
      <c r="AJ53" s="1537"/>
      <c r="AK53" s="1537"/>
      <c r="AL53" s="1537"/>
      <c r="AM53" s="1537"/>
      <c r="AN53" s="1537"/>
      <c r="AO53" s="1537"/>
      <c r="AP53" s="1537"/>
      <c r="AQ53" s="1537"/>
      <c r="AR53" s="1537"/>
      <c r="AS53" s="1537"/>
      <c r="AT53" s="1537"/>
      <c r="AU53" s="1537"/>
      <c r="AV53" s="1537"/>
      <c r="AW53" s="1537"/>
      <c r="AX53" s="1537"/>
      <c r="AY53" s="1537"/>
      <c r="AZ53" s="1537"/>
      <c r="BA53" s="1537"/>
      <c r="BB53" s="1537"/>
      <c r="BC53" s="1537"/>
      <c r="BD53" s="1537"/>
      <c r="BE53" s="1537"/>
      <c r="BF53" s="1537"/>
      <c r="BG53" s="1537"/>
      <c r="BH53" s="1537"/>
      <c r="BI53" s="1537"/>
      <c r="BJ53" s="1537"/>
      <c r="BK53" s="1537"/>
      <c r="BL53" s="1537"/>
      <c r="BM53" s="1537"/>
      <c r="BN53" s="1537"/>
      <c r="BO53" s="1537"/>
      <c r="BP53" s="1537"/>
      <c r="BQ53" s="1537"/>
      <c r="BR53" s="1537"/>
      <c r="BS53" s="1537"/>
      <c r="BT53" s="1537"/>
      <c r="BU53" s="1537"/>
      <c r="BV53" s="1537"/>
      <c r="BW53" s="1537"/>
      <c r="BX53" s="1537"/>
      <c r="BY53" s="1537"/>
      <c r="BZ53" s="1537"/>
      <c r="CA53" s="1537"/>
      <c r="CB53" s="1537"/>
      <c r="CC53" s="1537"/>
      <c r="CD53" s="1537"/>
      <c r="CE53" s="1537"/>
      <c r="CF53" s="1537"/>
      <c r="CG53" s="1537"/>
      <c r="CH53" s="1537"/>
      <c r="CI53" s="1537"/>
      <c r="CJ53" s="1537"/>
      <c r="CK53" s="1537"/>
      <c r="CL53" s="1537"/>
      <c r="CM53" s="1537"/>
      <c r="CN53" s="1537"/>
      <c r="CO53" s="1537"/>
      <c r="CP53" s="1537"/>
      <c r="CQ53" s="1537"/>
      <c r="CR53" s="1537"/>
      <c r="CS53" s="1537"/>
      <c r="CT53" s="1537"/>
      <c r="CU53" s="1537"/>
      <c r="CV53" s="1537"/>
      <c r="CW53" s="1537"/>
      <c r="CX53" s="1537"/>
      <c r="CY53" s="1537"/>
      <c r="CZ53" s="1537"/>
      <c r="DA53" s="1537"/>
      <c r="DB53" s="1537"/>
      <c r="DC53" s="1537"/>
      <c r="DD53" s="1537"/>
      <c r="DE53" s="1537"/>
      <c r="DF53" s="1537"/>
      <c r="DG53" s="1537"/>
      <c r="DH53" s="1537"/>
      <c r="DI53" s="1537"/>
      <c r="DJ53" s="1537"/>
      <c r="DK53" s="1537"/>
      <c r="DL53" s="1537"/>
      <c r="DM53" s="1537"/>
      <c r="DN53" s="1537"/>
      <c r="DO53" s="1537"/>
      <c r="DP53" s="1537"/>
      <c r="DQ53" s="1537"/>
      <c r="DR53" s="1537"/>
      <c r="DS53" s="1537"/>
      <c r="DT53" s="1537"/>
      <c r="DU53" s="1537"/>
      <c r="DV53" s="1537"/>
      <c r="DW53" s="1537"/>
      <c r="DX53" s="1537"/>
      <c r="DY53" s="1537"/>
      <c r="DZ53" s="1537"/>
      <c r="EA53" s="1537"/>
      <c r="EB53" s="1537"/>
      <c r="EC53" s="1537"/>
      <c r="ED53" s="1537"/>
      <c r="EE53" s="1537"/>
      <c r="EF53" s="1537"/>
      <c r="EG53" s="1537"/>
      <c r="EH53" s="1537"/>
      <c r="EI53" s="1537"/>
      <c r="EJ53" s="1537"/>
      <c r="EK53" s="1537"/>
      <c r="EL53" s="1537"/>
      <c r="EM53" s="1537"/>
      <c r="EN53" s="1537"/>
      <c r="EO53" s="1537"/>
      <c r="EP53" s="1537"/>
      <c r="EQ53" s="1537"/>
      <c r="ER53" s="1537"/>
      <c r="ES53" s="1537"/>
      <c r="ET53" s="1537"/>
      <c r="EU53" s="1537"/>
      <c r="EV53" s="1537"/>
      <c r="EW53" s="1537"/>
      <c r="EX53" s="1537"/>
      <c r="EY53" s="1537"/>
      <c r="EZ53" s="1537"/>
      <c r="FA53" s="1537"/>
      <c r="FB53" s="1537"/>
      <c r="FC53" s="1537"/>
      <c r="FD53" s="1537"/>
      <c r="FE53" s="1537"/>
      <c r="FF53" s="1537"/>
      <c r="FG53" s="1537"/>
      <c r="FH53" s="1537"/>
      <c r="FI53" s="1537"/>
      <c r="FJ53" s="1537"/>
      <c r="FK53" s="1537"/>
      <c r="FL53" s="1537"/>
      <c r="FM53" s="1537"/>
      <c r="FN53" s="1537"/>
      <c r="FO53" s="1537"/>
      <c r="FP53" s="1537"/>
      <c r="FQ53" s="1537"/>
      <c r="FR53" s="1537"/>
      <c r="FS53" s="1537"/>
      <c r="FT53" s="1537"/>
      <c r="FU53" s="1537"/>
      <c r="FV53" s="1537"/>
      <c r="FW53" s="1537"/>
      <c r="FX53" s="1537"/>
      <c r="FY53" s="1537"/>
      <c r="FZ53" s="1537"/>
      <c r="GA53" s="1537"/>
      <c r="GB53" s="1537"/>
      <c r="GC53" s="1537"/>
      <c r="GD53" s="1537"/>
      <c r="GE53" s="1537"/>
      <c r="GF53" s="1537"/>
      <c r="GG53" s="1537"/>
      <c r="GH53" s="1537"/>
      <c r="GI53" s="1537"/>
      <c r="GJ53" s="1537"/>
      <c r="GK53" s="1537"/>
      <c r="GL53" s="1537"/>
      <c r="GM53" s="1537"/>
      <c r="GN53" s="1537"/>
      <c r="GO53" s="1537"/>
      <c r="GP53" s="1537"/>
      <c r="GQ53" s="1537"/>
      <c r="GR53" s="1537"/>
      <c r="GS53" s="1537"/>
      <c r="GT53" s="1537"/>
      <c r="GU53" s="1537"/>
      <c r="GV53" s="1537"/>
      <c r="GW53" s="1537"/>
      <c r="GX53" s="1537"/>
      <c r="GY53" s="1537"/>
      <c r="GZ53" s="1537"/>
      <c r="HA53" s="1537"/>
      <c r="HB53" s="1537"/>
      <c r="HC53" s="1537"/>
      <c r="HD53" s="1537"/>
      <c r="HE53" s="1537"/>
      <c r="HF53" s="1537"/>
      <c r="HG53" s="1537"/>
      <c r="HH53" s="1537"/>
      <c r="HI53" s="1537"/>
      <c r="HJ53" s="1537"/>
      <c r="HK53" s="1537"/>
      <c r="HL53" s="1537"/>
      <c r="HM53" s="1537"/>
      <c r="HN53" s="1537"/>
      <c r="HO53" s="1537"/>
      <c r="HP53" s="1537"/>
      <c r="HQ53" s="1537"/>
      <c r="HR53" s="1537"/>
      <c r="HS53" s="1537"/>
      <c r="HT53" s="1537"/>
      <c r="HU53" s="1537"/>
      <c r="HV53" s="1537"/>
      <c r="HW53" s="1537"/>
      <c r="HX53" s="1537"/>
      <c r="HY53" s="1537"/>
      <c r="HZ53" s="1537"/>
      <c r="IA53" s="1537"/>
      <c r="IB53" s="1537"/>
      <c r="IC53" s="1537"/>
      <c r="ID53" s="1537"/>
      <c r="IE53" s="1537"/>
      <c r="IF53" s="1537"/>
      <c r="IG53" s="1537"/>
      <c r="IH53" s="1537"/>
      <c r="II53" s="1537"/>
      <c r="IJ53" s="1537"/>
      <c r="IK53" s="1537"/>
      <c r="IL53" s="1537"/>
      <c r="IM53" s="1537"/>
      <c r="IN53" s="1537"/>
      <c r="IO53" s="1537"/>
      <c r="IP53" s="1537"/>
      <c r="IQ53" s="1537"/>
      <c r="IR53" s="1537"/>
      <c r="IS53" s="1537"/>
      <c r="IT53" s="1537"/>
      <c r="IU53" s="1537"/>
      <c r="IV53" s="1537"/>
    </row>
    <row r="54" spans="1:256">
      <c r="A54" s="1541">
        <f t="shared" si="9"/>
        <v>34</v>
      </c>
      <c r="B54" s="1538" t="s">
        <v>515</v>
      </c>
      <c r="C54" s="629">
        <f t="shared" si="10"/>
        <v>0</v>
      </c>
      <c r="D54" s="629">
        <f t="shared" si="11"/>
        <v>0</v>
      </c>
      <c r="E54" s="1538">
        <v>31</v>
      </c>
      <c r="F54" s="446">
        <v>62</v>
      </c>
      <c r="G54" s="1549">
        <f t="shared" si="6"/>
        <v>0.16986301369863013</v>
      </c>
      <c r="H54" s="629">
        <f t="shared" si="7"/>
        <v>0</v>
      </c>
      <c r="I54" s="629">
        <f t="shared" si="8"/>
        <v>0</v>
      </c>
      <c r="J54" s="1537"/>
      <c r="K54" s="1537"/>
      <c r="L54" s="1537"/>
      <c r="M54" s="1537"/>
      <c r="N54" s="1537"/>
      <c r="O54" s="1537"/>
      <c r="P54" s="1537"/>
      <c r="Q54" s="1537"/>
      <c r="R54" s="1537"/>
      <c r="S54" s="1537"/>
      <c r="T54" s="1537"/>
      <c r="U54" s="1537"/>
      <c r="V54" s="1537"/>
      <c r="W54" s="1537"/>
      <c r="X54" s="1537"/>
      <c r="Y54" s="1537"/>
      <c r="Z54" s="1537"/>
      <c r="AA54" s="1537"/>
      <c r="AB54" s="1537"/>
      <c r="AC54" s="1537"/>
      <c r="AD54" s="1537"/>
      <c r="AE54" s="1537"/>
      <c r="AF54" s="1537"/>
      <c r="AG54" s="1537"/>
      <c r="AH54" s="1537"/>
      <c r="AI54" s="1537"/>
      <c r="AJ54" s="1537"/>
      <c r="AK54" s="1537"/>
      <c r="AL54" s="1537"/>
      <c r="AM54" s="1537"/>
      <c r="AN54" s="1537"/>
      <c r="AO54" s="1537"/>
      <c r="AP54" s="1537"/>
      <c r="AQ54" s="1537"/>
      <c r="AR54" s="1537"/>
      <c r="AS54" s="1537"/>
      <c r="AT54" s="1537"/>
      <c r="AU54" s="1537"/>
      <c r="AV54" s="1537"/>
      <c r="AW54" s="1537"/>
      <c r="AX54" s="1537"/>
      <c r="AY54" s="1537"/>
      <c r="AZ54" s="1537"/>
      <c r="BA54" s="1537"/>
      <c r="BB54" s="1537"/>
      <c r="BC54" s="1537"/>
      <c r="BD54" s="1537"/>
      <c r="BE54" s="1537"/>
      <c r="BF54" s="1537"/>
      <c r="BG54" s="1537"/>
      <c r="BH54" s="1537"/>
      <c r="BI54" s="1537"/>
      <c r="BJ54" s="1537"/>
      <c r="BK54" s="1537"/>
      <c r="BL54" s="1537"/>
      <c r="BM54" s="1537"/>
      <c r="BN54" s="1537"/>
      <c r="BO54" s="1537"/>
      <c r="BP54" s="1537"/>
      <c r="BQ54" s="1537"/>
      <c r="BR54" s="1537"/>
      <c r="BS54" s="1537"/>
      <c r="BT54" s="1537"/>
      <c r="BU54" s="1537"/>
      <c r="BV54" s="1537"/>
      <c r="BW54" s="1537"/>
      <c r="BX54" s="1537"/>
      <c r="BY54" s="1537"/>
      <c r="BZ54" s="1537"/>
      <c r="CA54" s="1537"/>
      <c r="CB54" s="1537"/>
      <c r="CC54" s="1537"/>
      <c r="CD54" s="1537"/>
      <c r="CE54" s="1537"/>
      <c r="CF54" s="1537"/>
      <c r="CG54" s="1537"/>
      <c r="CH54" s="1537"/>
      <c r="CI54" s="1537"/>
      <c r="CJ54" s="1537"/>
      <c r="CK54" s="1537"/>
      <c r="CL54" s="1537"/>
      <c r="CM54" s="1537"/>
      <c r="CN54" s="1537"/>
      <c r="CO54" s="1537"/>
      <c r="CP54" s="1537"/>
      <c r="CQ54" s="1537"/>
      <c r="CR54" s="1537"/>
      <c r="CS54" s="1537"/>
      <c r="CT54" s="1537"/>
      <c r="CU54" s="1537"/>
      <c r="CV54" s="1537"/>
      <c r="CW54" s="1537"/>
      <c r="CX54" s="1537"/>
      <c r="CY54" s="1537"/>
      <c r="CZ54" s="1537"/>
      <c r="DA54" s="1537"/>
      <c r="DB54" s="1537"/>
      <c r="DC54" s="1537"/>
      <c r="DD54" s="1537"/>
      <c r="DE54" s="1537"/>
      <c r="DF54" s="1537"/>
      <c r="DG54" s="1537"/>
      <c r="DH54" s="1537"/>
      <c r="DI54" s="1537"/>
      <c r="DJ54" s="1537"/>
      <c r="DK54" s="1537"/>
      <c r="DL54" s="1537"/>
      <c r="DM54" s="1537"/>
      <c r="DN54" s="1537"/>
      <c r="DO54" s="1537"/>
      <c r="DP54" s="1537"/>
      <c r="DQ54" s="1537"/>
      <c r="DR54" s="1537"/>
      <c r="DS54" s="1537"/>
      <c r="DT54" s="1537"/>
      <c r="DU54" s="1537"/>
      <c r="DV54" s="1537"/>
      <c r="DW54" s="1537"/>
      <c r="DX54" s="1537"/>
      <c r="DY54" s="1537"/>
      <c r="DZ54" s="1537"/>
      <c r="EA54" s="1537"/>
      <c r="EB54" s="1537"/>
      <c r="EC54" s="1537"/>
      <c r="ED54" s="1537"/>
      <c r="EE54" s="1537"/>
      <c r="EF54" s="1537"/>
      <c r="EG54" s="1537"/>
      <c r="EH54" s="1537"/>
      <c r="EI54" s="1537"/>
      <c r="EJ54" s="1537"/>
      <c r="EK54" s="1537"/>
      <c r="EL54" s="1537"/>
      <c r="EM54" s="1537"/>
      <c r="EN54" s="1537"/>
      <c r="EO54" s="1537"/>
      <c r="EP54" s="1537"/>
      <c r="EQ54" s="1537"/>
      <c r="ER54" s="1537"/>
      <c r="ES54" s="1537"/>
      <c r="ET54" s="1537"/>
      <c r="EU54" s="1537"/>
      <c r="EV54" s="1537"/>
      <c r="EW54" s="1537"/>
      <c r="EX54" s="1537"/>
      <c r="EY54" s="1537"/>
      <c r="EZ54" s="1537"/>
      <c r="FA54" s="1537"/>
      <c r="FB54" s="1537"/>
      <c r="FC54" s="1537"/>
      <c r="FD54" s="1537"/>
      <c r="FE54" s="1537"/>
      <c r="FF54" s="1537"/>
      <c r="FG54" s="1537"/>
      <c r="FH54" s="1537"/>
      <c r="FI54" s="1537"/>
      <c r="FJ54" s="1537"/>
      <c r="FK54" s="1537"/>
      <c r="FL54" s="1537"/>
      <c r="FM54" s="1537"/>
      <c r="FN54" s="1537"/>
      <c r="FO54" s="1537"/>
      <c r="FP54" s="1537"/>
      <c r="FQ54" s="1537"/>
      <c r="FR54" s="1537"/>
      <c r="FS54" s="1537"/>
      <c r="FT54" s="1537"/>
      <c r="FU54" s="1537"/>
      <c r="FV54" s="1537"/>
      <c r="FW54" s="1537"/>
      <c r="FX54" s="1537"/>
      <c r="FY54" s="1537"/>
      <c r="FZ54" s="1537"/>
      <c r="GA54" s="1537"/>
      <c r="GB54" s="1537"/>
      <c r="GC54" s="1537"/>
      <c r="GD54" s="1537"/>
      <c r="GE54" s="1537"/>
      <c r="GF54" s="1537"/>
      <c r="GG54" s="1537"/>
      <c r="GH54" s="1537"/>
      <c r="GI54" s="1537"/>
      <c r="GJ54" s="1537"/>
      <c r="GK54" s="1537"/>
      <c r="GL54" s="1537"/>
      <c r="GM54" s="1537"/>
      <c r="GN54" s="1537"/>
      <c r="GO54" s="1537"/>
      <c r="GP54" s="1537"/>
      <c r="GQ54" s="1537"/>
      <c r="GR54" s="1537"/>
      <c r="GS54" s="1537"/>
      <c r="GT54" s="1537"/>
      <c r="GU54" s="1537"/>
      <c r="GV54" s="1537"/>
      <c r="GW54" s="1537"/>
      <c r="GX54" s="1537"/>
      <c r="GY54" s="1537"/>
      <c r="GZ54" s="1537"/>
      <c r="HA54" s="1537"/>
      <c r="HB54" s="1537"/>
      <c r="HC54" s="1537"/>
      <c r="HD54" s="1537"/>
      <c r="HE54" s="1537"/>
      <c r="HF54" s="1537"/>
      <c r="HG54" s="1537"/>
      <c r="HH54" s="1537"/>
      <c r="HI54" s="1537"/>
      <c r="HJ54" s="1537"/>
      <c r="HK54" s="1537"/>
      <c r="HL54" s="1537"/>
      <c r="HM54" s="1537"/>
      <c r="HN54" s="1537"/>
      <c r="HO54" s="1537"/>
      <c r="HP54" s="1537"/>
      <c r="HQ54" s="1537"/>
      <c r="HR54" s="1537"/>
      <c r="HS54" s="1537"/>
      <c r="HT54" s="1537"/>
      <c r="HU54" s="1537"/>
      <c r="HV54" s="1537"/>
      <c r="HW54" s="1537"/>
      <c r="HX54" s="1537"/>
      <c r="HY54" s="1537"/>
      <c r="HZ54" s="1537"/>
      <c r="IA54" s="1537"/>
      <c r="IB54" s="1537"/>
      <c r="IC54" s="1537"/>
      <c r="ID54" s="1537"/>
      <c r="IE54" s="1537"/>
      <c r="IF54" s="1537"/>
      <c r="IG54" s="1537"/>
      <c r="IH54" s="1537"/>
      <c r="II54" s="1537"/>
      <c r="IJ54" s="1537"/>
      <c r="IK54" s="1537"/>
      <c r="IL54" s="1537"/>
      <c r="IM54" s="1537"/>
      <c r="IN54" s="1537"/>
      <c r="IO54" s="1537"/>
      <c r="IP54" s="1537"/>
      <c r="IQ54" s="1537"/>
      <c r="IR54" s="1537"/>
      <c r="IS54" s="1537"/>
      <c r="IT54" s="1537"/>
      <c r="IU54" s="1537"/>
      <c r="IV54" s="1537"/>
    </row>
    <row r="55" spans="1:256">
      <c r="A55" s="1541">
        <f t="shared" si="9"/>
        <v>35</v>
      </c>
      <c r="B55" s="1538" t="s">
        <v>516</v>
      </c>
      <c r="C55" s="629">
        <f t="shared" si="10"/>
        <v>0</v>
      </c>
      <c r="D55" s="629">
        <f t="shared" si="11"/>
        <v>0</v>
      </c>
      <c r="E55" s="1538">
        <v>30</v>
      </c>
      <c r="F55" s="446">
        <v>32</v>
      </c>
      <c r="G55" s="1549">
        <f t="shared" si="6"/>
        <v>8.7671232876712329E-2</v>
      </c>
      <c r="H55" s="629">
        <f t="shared" si="7"/>
        <v>0</v>
      </c>
      <c r="I55" s="629">
        <f t="shared" si="8"/>
        <v>0</v>
      </c>
      <c r="J55" s="1537"/>
      <c r="K55" s="1537"/>
      <c r="L55" s="1537"/>
      <c r="M55" s="1537"/>
      <c r="N55" s="1537"/>
      <c r="O55" s="1537"/>
      <c r="P55" s="1537"/>
      <c r="Q55" s="1537"/>
      <c r="R55" s="1537"/>
      <c r="S55" s="1537"/>
      <c r="T55" s="1537"/>
      <c r="U55" s="1537"/>
      <c r="V55" s="1537"/>
      <c r="W55" s="1537"/>
      <c r="X55" s="1537"/>
      <c r="Y55" s="1537"/>
      <c r="Z55" s="1537"/>
      <c r="AA55" s="1537"/>
      <c r="AB55" s="1537"/>
      <c r="AC55" s="1537"/>
      <c r="AD55" s="1537"/>
      <c r="AE55" s="1537"/>
      <c r="AF55" s="1537"/>
      <c r="AG55" s="1537"/>
      <c r="AH55" s="1537"/>
      <c r="AI55" s="1537"/>
      <c r="AJ55" s="1537"/>
      <c r="AK55" s="1537"/>
      <c r="AL55" s="1537"/>
      <c r="AM55" s="1537"/>
      <c r="AN55" s="1537"/>
      <c r="AO55" s="1537"/>
      <c r="AP55" s="1537"/>
      <c r="AQ55" s="1537"/>
      <c r="AR55" s="1537"/>
      <c r="AS55" s="1537"/>
      <c r="AT55" s="1537"/>
      <c r="AU55" s="1537"/>
      <c r="AV55" s="1537"/>
      <c r="AW55" s="1537"/>
      <c r="AX55" s="1537"/>
      <c r="AY55" s="1537"/>
      <c r="AZ55" s="1537"/>
      <c r="BA55" s="1537"/>
      <c r="BB55" s="1537"/>
      <c r="BC55" s="1537"/>
      <c r="BD55" s="1537"/>
      <c r="BE55" s="1537"/>
      <c r="BF55" s="1537"/>
      <c r="BG55" s="1537"/>
      <c r="BH55" s="1537"/>
      <c r="BI55" s="1537"/>
      <c r="BJ55" s="1537"/>
      <c r="BK55" s="1537"/>
      <c r="BL55" s="1537"/>
      <c r="BM55" s="1537"/>
      <c r="BN55" s="1537"/>
      <c r="BO55" s="1537"/>
      <c r="BP55" s="1537"/>
      <c r="BQ55" s="1537"/>
      <c r="BR55" s="1537"/>
      <c r="BS55" s="1537"/>
      <c r="BT55" s="1537"/>
      <c r="BU55" s="1537"/>
      <c r="BV55" s="1537"/>
      <c r="BW55" s="1537"/>
      <c r="BX55" s="1537"/>
      <c r="BY55" s="1537"/>
      <c r="BZ55" s="1537"/>
      <c r="CA55" s="1537"/>
      <c r="CB55" s="1537"/>
      <c r="CC55" s="1537"/>
      <c r="CD55" s="1537"/>
      <c r="CE55" s="1537"/>
      <c r="CF55" s="1537"/>
      <c r="CG55" s="1537"/>
      <c r="CH55" s="1537"/>
      <c r="CI55" s="1537"/>
      <c r="CJ55" s="1537"/>
      <c r="CK55" s="1537"/>
      <c r="CL55" s="1537"/>
      <c r="CM55" s="1537"/>
      <c r="CN55" s="1537"/>
      <c r="CO55" s="1537"/>
      <c r="CP55" s="1537"/>
      <c r="CQ55" s="1537"/>
      <c r="CR55" s="1537"/>
      <c r="CS55" s="1537"/>
      <c r="CT55" s="1537"/>
      <c r="CU55" s="1537"/>
      <c r="CV55" s="1537"/>
      <c r="CW55" s="1537"/>
      <c r="CX55" s="1537"/>
      <c r="CY55" s="1537"/>
      <c r="CZ55" s="1537"/>
      <c r="DA55" s="1537"/>
      <c r="DB55" s="1537"/>
      <c r="DC55" s="1537"/>
      <c r="DD55" s="1537"/>
      <c r="DE55" s="1537"/>
      <c r="DF55" s="1537"/>
      <c r="DG55" s="1537"/>
      <c r="DH55" s="1537"/>
      <c r="DI55" s="1537"/>
      <c r="DJ55" s="1537"/>
      <c r="DK55" s="1537"/>
      <c r="DL55" s="1537"/>
      <c r="DM55" s="1537"/>
      <c r="DN55" s="1537"/>
      <c r="DO55" s="1537"/>
      <c r="DP55" s="1537"/>
      <c r="DQ55" s="1537"/>
      <c r="DR55" s="1537"/>
      <c r="DS55" s="1537"/>
      <c r="DT55" s="1537"/>
      <c r="DU55" s="1537"/>
      <c r="DV55" s="1537"/>
      <c r="DW55" s="1537"/>
      <c r="DX55" s="1537"/>
      <c r="DY55" s="1537"/>
      <c r="DZ55" s="1537"/>
      <c r="EA55" s="1537"/>
      <c r="EB55" s="1537"/>
      <c r="EC55" s="1537"/>
      <c r="ED55" s="1537"/>
      <c r="EE55" s="1537"/>
      <c r="EF55" s="1537"/>
      <c r="EG55" s="1537"/>
      <c r="EH55" s="1537"/>
      <c r="EI55" s="1537"/>
      <c r="EJ55" s="1537"/>
      <c r="EK55" s="1537"/>
      <c r="EL55" s="1537"/>
      <c r="EM55" s="1537"/>
      <c r="EN55" s="1537"/>
      <c r="EO55" s="1537"/>
      <c r="EP55" s="1537"/>
      <c r="EQ55" s="1537"/>
      <c r="ER55" s="1537"/>
      <c r="ES55" s="1537"/>
      <c r="ET55" s="1537"/>
      <c r="EU55" s="1537"/>
      <c r="EV55" s="1537"/>
      <c r="EW55" s="1537"/>
      <c r="EX55" s="1537"/>
      <c r="EY55" s="1537"/>
      <c r="EZ55" s="1537"/>
      <c r="FA55" s="1537"/>
      <c r="FB55" s="1537"/>
      <c r="FC55" s="1537"/>
      <c r="FD55" s="1537"/>
      <c r="FE55" s="1537"/>
      <c r="FF55" s="1537"/>
      <c r="FG55" s="1537"/>
      <c r="FH55" s="1537"/>
      <c r="FI55" s="1537"/>
      <c r="FJ55" s="1537"/>
      <c r="FK55" s="1537"/>
      <c r="FL55" s="1537"/>
      <c r="FM55" s="1537"/>
      <c r="FN55" s="1537"/>
      <c r="FO55" s="1537"/>
      <c r="FP55" s="1537"/>
      <c r="FQ55" s="1537"/>
      <c r="FR55" s="1537"/>
      <c r="FS55" s="1537"/>
      <c r="FT55" s="1537"/>
      <c r="FU55" s="1537"/>
      <c r="FV55" s="1537"/>
      <c r="FW55" s="1537"/>
      <c r="FX55" s="1537"/>
      <c r="FY55" s="1537"/>
      <c r="FZ55" s="1537"/>
      <c r="GA55" s="1537"/>
      <c r="GB55" s="1537"/>
      <c r="GC55" s="1537"/>
      <c r="GD55" s="1537"/>
      <c r="GE55" s="1537"/>
      <c r="GF55" s="1537"/>
      <c r="GG55" s="1537"/>
      <c r="GH55" s="1537"/>
      <c r="GI55" s="1537"/>
      <c r="GJ55" s="1537"/>
      <c r="GK55" s="1537"/>
      <c r="GL55" s="1537"/>
      <c r="GM55" s="1537"/>
      <c r="GN55" s="1537"/>
      <c r="GO55" s="1537"/>
      <c r="GP55" s="1537"/>
      <c r="GQ55" s="1537"/>
      <c r="GR55" s="1537"/>
      <c r="GS55" s="1537"/>
      <c r="GT55" s="1537"/>
      <c r="GU55" s="1537"/>
      <c r="GV55" s="1537"/>
      <c r="GW55" s="1537"/>
      <c r="GX55" s="1537"/>
      <c r="GY55" s="1537"/>
      <c r="GZ55" s="1537"/>
      <c r="HA55" s="1537"/>
      <c r="HB55" s="1537"/>
      <c r="HC55" s="1537"/>
      <c r="HD55" s="1537"/>
      <c r="HE55" s="1537"/>
      <c r="HF55" s="1537"/>
      <c r="HG55" s="1537"/>
      <c r="HH55" s="1537"/>
      <c r="HI55" s="1537"/>
      <c r="HJ55" s="1537"/>
      <c r="HK55" s="1537"/>
      <c r="HL55" s="1537"/>
      <c r="HM55" s="1537"/>
      <c r="HN55" s="1537"/>
      <c r="HO55" s="1537"/>
      <c r="HP55" s="1537"/>
      <c r="HQ55" s="1537"/>
      <c r="HR55" s="1537"/>
      <c r="HS55" s="1537"/>
      <c r="HT55" s="1537"/>
      <c r="HU55" s="1537"/>
      <c r="HV55" s="1537"/>
      <c r="HW55" s="1537"/>
      <c r="HX55" s="1537"/>
      <c r="HY55" s="1537"/>
      <c r="HZ55" s="1537"/>
      <c r="IA55" s="1537"/>
      <c r="IB55" s="1537"/>
      <c r="IC55" s="1537"/>
      <c r="ID55" s="1537"/>
      <c r="IE55" s="1537"/>
      <c r="IF55" s="1537"/>
      <c r="IG55" s="1537"/>
      <c r="IH55" s="1537"/>
      <c r="II55" s="1537"/>
      <c r="IJ55" s="1537"/>
      <c r="IK55" s="1537"/>
      <c r="IL55" s="1537"/>
      <c r="IM55" s="1537"/>
      <c r="IN55" s="1537"/>
      <c r="IO55" s="1537"/>
      <c r="IP55" s="1537"/>
      <c r="IQ55" s="1537"/>
      <c r="IR55" s="1537"/>
      <c r="IS55" s="1537"/>
      <c r="IT55" s="1537"/>
      <c r="IU55" s="1537"/>
      <c r="IV55" s="1537"/>
    </row>
    <row r="56" spans="1:256">
      <c r="A56" s="1541">
        <f t="shared" si="9"/>
        <v>36</v>
      </c>
      <c r="B56" s="1538" t="s">
        <v>327</v>
      </c>
      <c r="C56" s="629">
        <f t="shared" si="10"/>
        <v>0</v>
      </c>
      <c r="D56" s="629">
        <f t="shared" si="11"/>
        <v>0</v>
      </c>
      <c r="E56" s="1538">
        <v>31</v>
      </c>
      <c r="F56" s="446">
        <f>F55-E56</f>
        <v>1</v>
      </c>
      <c r="G56" s="1549">
        <f t="shared" si="6"/>
        <v>2.7397260273972603E-3</v>
      </c>
      <c r="H56" s="629">
        <f t="shared" si="7"/>
        <v>0</v>
      </c>
      <c r="I56" s="629">
        <f t="shared" si="8"/>
        <v>0</v>
      </c>
      <c r="J56" s="1537"/>
      <c r="K56" s="1537"/>
      <c r="L56" s="1537"/>
      <c r="M56" s="1537"/>
      <c r="N56" s="1537"/>
      <c r="O56" s="1537"/>
      <c r="P56" s="1537"/>
      <c r="Q56" s="1537"/>
      <c r="R56" s="1537"/>
      <c r="S56" s="1537"/>
      <c r="T56" s="1537"/>
      <c r="U56" s="1537"/>
      <c r="V56" s="1537"/>
      <c r="W56" s="1537"/>
      <c r="X56" s="1537"/>
      <c r="Y56" s="1537"/>
      <c r="Z56" s="1537"/>
      <c r="AA56" s="1537"/>
      <c r="AB56" s="1537"/>
      <c r="AC56" s="1537"/>
      <c r="AD56" s="1537"/>
      <c r="AE56" s="1537"/>
      <c r="AF56" s="1537"/>
      <c r="AG56" s="1537"/>
      <c r="AH56" s="1537"/>
      <c r="AI56" s="1537"/>
      <c r="AJ56" s="1537"/>
      <c r="AK56" s="1537"/>
      <c r="AL56" s="1537"/>
      <c r="AM56" s="1537"/>
      <c r="AN56" s="1537"/>
      <c r="AO56" s="1537"/>
      <c r="AP56" s="1537"/>
      <c r="AQ56" s="1537"/>
      <c r="AR56" s="1537"/>
      <c r="AS56" s="1537"/>
      <c r="AT56" s="1537"/>
      <c r="AU56" s="1537"/>
      <c r="AV56" s="1537"/>
      <c r="AW56" s="1537"/>
      <c r="AX56" s="1537"/>
      <c r="AY56" s="1537"/>
      <c r="AZ56" s="1537"/>
      <c r="BA56" s="1537"/>
      <c r="BB56" s="1537"/>
      <c r="BC56" s="1537"/>
      <c r="BD56" s="1537"/>
      <c r="BE56" s="1537"/>
      <c r="BF56" s="1537"/>
      <c r="BG56" s="1537"/>
      <c r="BH56" s="1537"/>
      <c r="BI56" s="1537"/>
      <c r="BJ56" s="1537"/>
      <c r="BK56" s="1537"/>
      <c r="BL56" s="1537"/>
      <c r="BM56" s="1537"/>
      <c r="BN56" s="1537"/>
      <c r="BO56" s="1537"/>
      <c r="BP56" s="1537"/>
      <c r="BQ56" s="1537"/>
      <c r="BR56" s="1537"/>
      <c r="BS56" s="1537"/>
      <c r="BT56" s="1537"/>
      <c r="BU56" s="1537"/>
      <c r="BV56" s="1537"/>
      <c r="BW56" s="1537"/>
      <c r="BX56" s="1537"/>
      <c r="BY56" s="1537"/>
      <c r="BZ56" s="1537"/>
      <c r="CA56" s="1537"/>
      <c r="CB56" s="1537"/>
      <c r="CC56" s="1537"/>
      <c r="CD56" s="1537"/>
      <c r="CE56" s="1537"/>
      <c r="CF56" s="1537"/>
      <c r="CG56" s="1537"/>
      <c r="CH56" s="1537"/>
      <c r="CI56" s="1537"/>
      <c r="CJ56" s="1537"/>
      <c r="CK56" s="1537"/>
      <c r="CL56" s="1537"/>
      <c r="CM56" s="1537"/>
      <c r="CN56" s="1537"/>
      <c r="CO56" s="1537"/>
      <c r="CP56" s="1537"/>
      <c r="CQ56" s="1537"/>
      <c r="CR56" s="1537"/>
      <c r="CS56" s="1537"/>
      <c r="CT56" s="1537"/>
      <c r="CU56" s="1537"/>
      <c r="CV56" s="1537"/>
      <c r="CW56" s="1537"/>
      <c r="CX56" s="1537"/>
      <c r="CY56" s="1537"/>
      <c r="CZ56" s="1537"/>
      <c r="DA56" s="1537"/>
      <c r="DB56" s="1537"/>
      <c r="DC56" s="1537"/>
      <c r="DD56" s="1537"/>
      <c r="DE56" s="1537"/>
      <c r="DF56" s="1537"/>
      <c r="DG56" s="1537"/>
      <c r="DH56" s="1537"/>
      <c r="DI56" s="1537"/>
      <c r="DJ56" s="1537"/>
      <c r="DK56" s="1537"/>
      <c r="DL56" s="1537"/>
      <c r="DM56" s="1537"/>
      <c r="DN56" s="1537"/>
      <c r="DO56" s="1537"/>
      <c r="DP56" s="1537"/>
      <c r="DQ56" s="1537"/>
      <c r="DR56" s="1537"/>
      <c r="DS56" s="1537"/>
      <c r="DT56" s="1537"/>
      <c r="DU56" s="1537"/>
      <c r="DV56" s="1537"/>
      <c r="DW56" s="1537"/>
      <c r="DX56" s="1537"/>
      <c r="DY56" s="1537"/>
      <c r="DZ56" s="1537"/>
      <c r="EA56" s="1537"/>
      <c r="EB56" s="1537"/>
      <c r="EC56" s="1537"/>
      <c r="ED56" s="1537"/>
      <c r="EE56" s="1537"/>
      <c r="EF56" s="1537"/>
      <c r="EG56" s="1537"/>
      <c r="EH56" s="1537"/>
      <c r="EI56" s="1537"/>
      <c r="EJ56" s="1537"/>
      <c r="EK56" s="1537"/>
      <c r="EL56" s="1537"/>
      <c r="EM56" s="1537"/>
      <c r="EN56" s="1537"/>
      <c r="EO56" s="1537"/>
      <c r="EP56" s="1537"/>
      <c r="EQ56" s="1537"/>
      <c r="ER56" s="1537"/>
      <c r="ES56" s="1537"/>
      <c r="ET56" s="1537"/>
      <c r="EU56" s="1537"/>
      <c r="EV56" s="1537"/>
      <c r="EW56" s="1537"/>
      <c r="EX56" s="1537"/>
      <c r="EY56" s="1537"/>
      <c r="EZ56" s="1537"/>
      <c r="FA56" s="1537"/>
      <c r="FB56" s="1537"/>
      <c r="FC56" s="1537"/>
      <c r="FD56" s="1537"/>
      <c r="FE56" s="1537"/>
      <c r="FF56" s="1537"/>
      <c r="FG56" s="1537"/>
      <c r="FH56" s="1537"/>
      <c r="FI56" s="1537"/>
      <c r="FJ56" s="1537"/>
      <c r="FK56" s="1537"/>
      <c r="FL56" s="1537"/>
      <c r="FM56" s="1537"/>
      <c r="FN56" s="1537"/>
      <c r="FO56" s="1537"/>
      <c r="FP56" s="1537"/>
      <c r="FQ56" s="1537"/>
      <c r="FR56" s="1537"/>
      <c r="FS56" s="1537"/>
      <c r="FT56" s="1537"/>
      <c r="FU56" s="1537"/>
      <c r="FV56" s="1537"/>
      <c r="FW56" s="1537"/>
      <c r="FX56" s="1537"/>
      <c r="FY56" s="1537"/>
      <c r="FZ56" s="1537"/>
      <c r="GA56" s="1537"/>
      <c r="GB56" s="1537"/>
      <c r="GC56" s="1537"/>
      <c r="GD56" s="1537"/>
      <c r="GE56" s="1537"/>
      <c r="GF56" s="1537"/>
      <c r="GG56" s="1537"/>
      <c r="GH56" s="1537"/>
      <c r="GI56" s="1537"/>
      <c r="GJ56" s="1537"/>
      <c r="GK56" s="1537"/>
      <c r="GL56" s="1537"/>
      <c r="GM56" s="1537"/>
      <c r="GN56" s="1537"/>
      <c r="GO56" s="1537"/>
      <c r="GP56" s="1537"/>
      <c r="GQ56" s="1537"/>
      <c r="GR56" s="1537"/>
      <c r="GS56" s="1537"/>
      <c r="GT56" s="1537"/>
      <c r="GU56" s="1537"/>
      <c r="GV56" s="1537"/>
      <c r="GW56" s="1537"/>
      <c r="GX56" s="1537"/>
      <c r="GY56" s="1537"/>
      <c r="GZ56" s="1537"/>
      <c r="HA56" s="1537"/>
      <c r="HB56" s="1537"/>
      <c r="HC56" s="1537"/>
      <c r="HD56" s="1537"/>
      <c r="HE56" s="1537"/>
      <c r="HF56" s="1537"/>
      <c r="HG56" s="1537"/>
      <c r="HH56" s="1537"/>
      <c r="HI56" s="1537"/>
      <c r="HJ56" s="1537"/>
      <c r="HK56" s="1537"/>
      <c r="HL56" s="1537"/>
      <c r="HM56" s="1537"/>
      <c r="HN56" s="1537"/>
      <c r="HO56" s="1537"/>
      <c r="HP56" s="1537"/>
      <c r="HQ56" s="1537"/>
      <c r="HR56" s="1537"/>
      <c r="HS56" s="1537"/>
      <c r="HT56" s="1537"/>
      <c r="HU56" s="1537"/>
      <c r="HV56" s="1537"/>
      <c r="HW56" s="1537"/>
      <c r="HX56" s="1537"/>
      <c r="HY56" s="1537"/>
      <c r="HZ56" s="1537"/>
      <c r="IA56" s="1537"/>
      <c r="IB56" s="1537"/>
      <c r="IC56" s="1537"/>
      <c r="ID56" s="1537"/>
      <c r="IE56" s="1537"/>
      <c r="IF56" s="1537"/>
      <c r="IG56" s="1537"/>
      <c r="IH56" s="1537"/>
      <c r="II56" s="1537"/>
      <c r="IJ56" s="1537"/>
      <c r="IK56" s="1537"/>
      <c r="IL56" s="1537"/>
      <c r="IM56" s="1537"/>
      <c r="IN56" s="1537"/>
      <c r="IO56" s="1537"/>
      <c r="IP56" s="1537"/>
      <c r="IQ56" s="1537"/>
      <c r="IR56" s="1537"/>
      <c r="IS56" s="1537"/>
      <c r="IT56" s="1537"/>
      <c r="IU56" s="1537"/>
      <c r="IV56" s="1537"/>
    </row>
    <row r="57" spans="1:256">
      <c r="A57" s="1541"/>
      <c r="B57" s="1538"/>
      <c r="C57" s="1550"/>
      <c r="D57" s="1550"/>
      <c r="E57" s="1538"/>
      <c r="F57" s="1538"/>
      <c r="G57" s="1538"/>
      <c r="H57" s="1550"/>
      <c r="I57" s="1550"/>
      <c r="J57" s="1537"/>
      <c r="K57" s="1537"/>
      <c r="L57" s="1537"/>
      <c r="M57" s="1537"/>
      <c r="N57" s="1537"/>
      <c r="O57" s="1537"/>
      <c r="P57" s="1537"/>
      <c r="Q57" s="1537"/>
      <c r="R57" s="1537"/>
      <c r="S57" s="1537"/>
      <c r="T57" s="1537"/>
      <c r="U57" s="1537"/>
      <c r="V57" s="1537"/>
      <c r="W57" s="1537"/>
      <c r="X57" s="1537"/>
      <c r="Y57" s="1537"/>
      <c r="Z57" s="1537"/>
      <c r="AA57" s="1537"/>
      <c r="AB57" s="1537"/>
      <c r="AC57" s="1537"/>
      <c r="AD57" s="1537"/>
      <c r="AE57" s="1537"/>
      <c r="AF57" s="1537"/>
      <c r="AG57" s="1537"/>
      <c r="AH57" s="1537"/>
      <c r="AI57" s="1537"/>
      <c r="AJ57" s="1537"/>
      <c r="AK57" s="1537"/>
      <c r="AL57" s="1537"/>
      <c r="AM57" s="1537"/>
      <c r="AN57" s="1537"/>
      <c r="AO57" s="1537"/>
      <c r="AP57" s="1537"/>
      <c r="AQ57" s="1537"/>
      <c r="AR57" s="1537"/>
      <c r="AS57" s="1537"/>
      <c r="AT57" s="1537"/>
      <c r="AU57" s="1537"/>
      <c r="AV57" s="1537"/>
      <c r="AW57" s="1537"/>
      <c r="AX57" s="1537"/>
      <c r="AY57" s="1537"/>
      <c r="AZ57" s="1537"/>
      <c r="BA57" s="1537"/>
      <c r="BB57" s="1537"/>
      <c r="BC57" s="1537"/>
      <c r="BD57" s="1537"/>
      <c r="BE57" s="1537"/>
      <c r="BF57" s="1537"/>
      <c r="BG57" s="1537"/>
      <c r="BH57" s="1537"/>
      <c r="BI57" s="1537"/>
      <c r="BJ57" s="1537"/>
      <c r="BK57" s="1537"/>
      <c r="BL57" s="1537"/>
      <c r="BM57" s="1537"/>
      <c r="BN57" s="1537"/>
      <c r="BO57" s="1537"/>
      <c r="BP57" s="1537"/>
      <c r="BQ57" s="1537"/>
      <c r="BR57" s="1537"/>
      <c r="BS57" s="1537"/>
      <c r="BT57" s="1537"/>
      <c r="BU57" s="1537"/>
      <c r="BV57" s="1537"/>
      <c r="BW57" s="1537"/>
      <c r="BX57" s="1537"/>
      <c r="BY57" s="1537"/>
      <c r="BZ57" s="1537"/>
      <c r="CA57" s="1537"/>
      <c r="CB57" s="1537"/>
      <c r="CC57" s="1537"/>
      <c r="CD57" s="1537"/>
      <c r="CE57" s="1537"/>
      <c r="CF57" s="1537"/>
      <c r="CG57" s="1537"/>
      <c r="CH57" s="1537"/>
      <c r="CI57" s="1537"/>
      <c r="CJ57" s="1537"/>
      <c r="CK57" s="1537"/>
      <c r="CL57" s="1537"/>
      <c r="CM57" s="1537"/>
      <c r="CN57" s="1537"/>
      <c r="CO57" s="1537"/>
      <c r="CP57" s="1537"/>
      <c r="CQ57" s="1537"/>
      <c r="CR57" s="1537"/>
      <c r="CS57" s="1537"/>
      <c r="CT57" s="1537"/>
      <c r="CU57" s="1537"/>
      <c r="CV57" s="1537"/>
      <c r="CW57" s="1537"/>
      <c r="CX57" s="1537"/>
      <c r="CY57" s="1537"/>
      <c r="CZ57" s="1537"/>
      <c r="DA57" s="1537"/>
      <c r="DB57" s="1537"/>
      <c r="DC57" s="1537"/>
      <c r="DD57" s="1537"/>
      <c r="DE57" s="1537"/>
      <c r="DF57" s="1537"/>
      <c r="DG57" s="1537"/>
      <c r="DH57" s="1537"/>
      <c r="DI57" s="1537"/>
      <c r="DJ57" s="1537"/>
      <c r="DK57" s="1537"/>
      <c r="DL57" s="1537"/>
      <c r="DM57" s="1537"/>
      <c r="DN57" s="1537"/>
      <c r="DO57" s="1537"/>
      <c r="DP57" s="1537"/>
      <c r="DQ57" s="1537"/>
      <c r="DR57" s="1537"/>
      <c r="DS57" s="1537"/>
      <c r="DT57" s="1537"/>
      <c r="DU57" s="1537"/>
      <c r="DV57" s="1537"/>
      <c r="DW57" s="1537"/>
      <c r="DX57" s="1537"/>
      <c r="DY57" s="1537"/>
      <c r="DZ57" s="1537"/>
      <c r="EA57" s="1537"/>
      <c r="EB57" s="1537"/>
      <c r="EC57" s="1537"/>
      <c r="ED57" s="1537"/>
      <c r="EE57" s="1537"/>
      <c r="EF57" s="1537"/>
      <c r="EG57" s="1537"/>
      <c r="EH57" s="1537"/>
      <c r="EI57" s="1537"/>
      <c r="EJ57" s="1537"/>
      <c r="EK57" s="1537"/>
      <c r="EL57" s="1537"/>
      <c r="EM57" s="1537"/>
      <c r="EN57" s="1537"/>
      <c r="EO57" s="1537"/>
      <c r="EP57" s="1537"/>
      <c r="EQ57" s="1537"/>
      <c r="ER57" s="1537"/>
      <c r="ES57" s="1537"/>
      <c r="ET57" s="1537"/>
      <c r="EU57" s="1537"/>
      <c r="EV57" s="1537"/>
      <c r="EW57" s="1537"/>
      <c r="EX57" s="1537"/>
      <c r="EY57" s="1537"/>
      <c r="EZ57" s="1537"/>
      <c r="FA57" s="1537"/>
      <c r="FB57" s="1537"/>
      <c r="FC57" s="1537"/>
      <c r="FD57" s="1537"/>
      <c r="FE57" s="1537"/>
      <c r="FF57" s="1537"/>
      <c r="FG57" s="1537"/>
      <c r="FH57" s="1537"/>
      <c r="FI57" s="1537"/>
      <c r="FJ57" s="1537"/>
      <c r="FK57" s="1537"/>
      <c r="FL57" s="1537"/>
      <c r="FM57" s="1537"/>
      <c r="FN57" s="1537"/>
      <c r="FO57" s="1537"/>
      <c r="FP57" s="1537"/>
      <c r="FQ57" s="1537"/>
      <c r="FR57" s="1537"/>
      <c r="FS57" s="1537"/>
      <c r="FT57" s="1537"/>
      <c r="FU57" s="1537"/>
      <c r="FV57" s="1537"/>
      <c r="FW57" s="1537"/>
      <c r="FX57" s="1537"/>
      <c r="FY57" s="1537"/>
      <c r="FZ57" s="1537"/>
      <c r="GA57" s="1537"/>
      <c r="GB57" s="1537"/>
      <c r="GC57" s="1537"/>
      <c r="GD57" s="1537"/>
      <c r="GE57" s="1537"/>
      <c r="GF57" s="1537"/>
      <c r="GG57" s="1537"/>
      <c r="GH57" s="1537"/>
      <c r="GI57" s="1537"/>
      <c r="GJ57" s="1537"/>
      <c r="GK57" s="1537"/>
      <c r="GL57" s="1537"/>
      <c r="GM57" s="1537"/>
      <c r="GN57" s="1537"/>
      <c r="GO57" s="1537"/>
      <c r="GP57" s="1537"/>
      <c r="GQ57" s="1537"/>
      <c r="GR57" s="1537"/>
      <c r="GS57" s="1537"/>
      <c r="GT57" s="1537"/>
      <c r="GU57" s="1537"/>
      <c r="GV57" s="1537"/>
      <c r="GW57" s="1537"/>
      <c r="GX57" s="1537"/>
      <c r="GY57" s="1537"/>
      <c r="GZ57" s="1537"/>
      <c r="HA57" s="1537"/>
      <c r="HB57" s="1537"/>
      <c r="HC57" s="1537"/>
      <c r="HD57" s="1537"/>
      <c r="HE57" s="1537"/>
      <c r="HF57" s="1537"/>
      <c r="HG57" s="1537"/>
      <c r="HH57" s="1537"/>
      <c r="HI57" s="1537"/>
      <c r="HJ57" s="1537"/>
      <c r="HK57" s="1537"/>
      <c r="HL57" s="1537"/>
      <c r="HM57" s="1537"/>
      <c r="HN57" s="1537"/>
      <c r="HO57" s="1537"/>
      <c r="HP57" s="1537"/>
      <c r="HQ57" s="1537"/>
      <c r="HR57" s="1537"/>
      <c r="HS57" s="1537"/>
      <c r="HT57" s="1537"/>
      <c r="HU57" s="1537"/>
      <c r="HV57" s="1537"/>
      <c r="HW57" s="1537"/>
      <c r="HX57" s="1537"/>
      <c r="HY57" s="1537"/>
      <c r="HZ57" s="1537"/>
      <c r="IA57" s="1537"/>
      <c r="IB57" s="1537"/>
      <c r="IC57" s="1537"/>
      <c r="ID57" s="1537"/>
      <c r="IE57" s="1537"/>
      <c r="IF57" s="1537"/>
      <c r="IG57" s="1537"/>
      <c r="IH57" s="1537"/>
      <c r="II57" s="1537"/>
      <c r="IJ57" s="1537"/>
      <c r="IK57" s="1537"/>
      <c r="IL57" s="1537"/>
      <c r="IM57" s="1537"/>
      <c r="IN57" s="1537"/>
      <c r="IO57" s="1537"/>
      <c r="IP57" s="1537"/>
      <c r="IQ57" s="1537"/>
      <c r="IR57" s="1537"/>
      <c r="IS57" s="1537"/>
      <c r="IT57" s="1537"/>
      <c r="IU57" s="1537"/>
      <c r="IV57" s="1537"/>
    </row>
    <row r="58" spans="1:256">
      <c r="A58" s="1541">
        <f>+A56+1</f>
        <v>37</v>
      </c>
      <c r="B58" s="1538" t="s">
        <v>517</v>
      </c>
      <c r="C58" s="1550"/>
      <c r="D58" s="629">
        <f>+D56</f>
        <v>0</v>
      </c>
      <c r="E58" s="1538"/>
      <c r="F58" s="1538"/>
      <c r="G58" s="1538"/>
      <c r="H58" s="1550"/>
      <c r="I58" s="629">
        <f>+I56</f>
        <v>0</v>
      </c>
      <c r="J58" s="1537"/>
      <c r="K58" s="1537"/>
      <c r="L58" s="1537"/>
      <c r="M58" s="1537"/>
      <c r="N58" s="1537"/>
      <c r="O58" s="1537"/>
      <c r="P58" s="1537"/>
      <c r="Q58" s="1537"/>
      <c r="R58" s="1537"/>
      <c r="S58" s="1537"/>
      <c r="T58" s="1537"/>
      <c r="U58" s="1537"/>
      <c r="V58" s="1537"/>
      <c r="W58" s="1537"/>
      <c r="X58" s="1537"/>
      <c r="Y58" s="1537"/>
      <c r="Z58" s="1537"/>
      <c r="AA58" s="1537"/>
      <c r="AB58" s="1537"/>
      <c r="AC58" s="1537"/>
      <c r="AD58" s="1537"/>
      <c r="AE58" s="1537"/>
      <c r="AF58" s="1537"/>
      <c r="AG58" s="1537"/>
      <c r="AH58" s="1537"/>
      <c r="AI58" s="1537"/>
      <c r="AJ58" s="1537"/>
      <c r="AK58" s="1537"/>
      <c r="AL58" s="1537"/>
      <c r="AM58" s="1537"/>
      <c r="AN58" s="1537"/>
      <c r="AO58" s="1537"/>
      <c r="AP58" s="1537"/>
      <c r="AQ58" s="1537"/>
      <c r="AR58" s="1537"/>
      <c r="AS58" s="1537"/>
      <c r="AT58" s="1537"/>
      <c r="AU58" s="1537"/>
      <c r="AV58" s="1537"/>
      <c r="AW58" s="1537"/>
      <c r="AX58" s="1537"/>
      <c r="AY58" s="1537"/>
      <c r="AZ58" s="1537"/>
      <c r="BA58" s="1537"/>
      <c r="BB58" s="1537"/>
      <c r="BC58" s="1537"/>
      <c r="BD58" s="1537"/>
      <c r="BE58" s="1537"/>
      <c r="BF58" s="1537"/>
      <c r="BG58" s="1537"/>
      <c r="BH58" s="1537"/>
      <c r="BI58" s="1537"/>
      <c r="BJ58" s="1537"/>
      <c r="BK58" s="1537"/>
      <c r="BL58" s="1537"/>
      <c r="BM58" s="1537"/>
      <c r="BN58" s="1537"/>
      <c r="BO58" s="1537"/>
      <c r="BP58" s="1537"/>
      <c r="BQ58" s="1537"/>
      <c r="BR58" s="1537"/>
      <c r="BS58" s="1537"/>
      <c r="BT58" s="1537"/>
      <c r="BU58" s="1537"/>
      <c r="BV58" s="1537"/>
      <c r="BW58" s="1537"/>
      <c r="BX58" s="1537"/>
      <c r="BY58" s="1537"/>
      <c r="BZ58" s="1537"/>
      <c r="CA58" s="1537"/>
      <c r="CB58" s="1537"/>
      <c r="CC58" s="1537"/>
      <c r="CD58" s="1537"/>
      <c r="CE58" s="1537"/>
      <c r="CF58" s="1537"/>
      <c r="CG58" s="1537"/>
      <c r="CH58" s="1537"/>
      <c r="CI58" s="1537"/>
      <c r="CJ58" s="1537"/>
      <c r="CK58" s="1537"/>
      <c r="CL58" s="1537"/>
      <c r="CM58" s="1537"/>
      <c r="CN58" s="1537"/>
      <c r="CO58" s="1537"/>
      <c r="CP58" s="1537"/>
      <c r="CQ58" s="1537"/>
      <c r="CR58" s="1537"/>
      <c r="CS58" s="1537"/>
      <c r="CT58" s="1537"/>
      <c r="CU58" s="1537"/>
      <c r="CV58" s="1537"/>
      <c r="CW58" s="1537"/>
      <c r="CX58" s="1537"/>
      <c r="CY58" s="1537"/>
      <c r="CZ58" s="1537"/>
      <c r="DA58" s="1537"/>
      <c r="DB58" s="1537"/>
      <c r="DC58" s="1537"/>
      <c r="DD58" s="1537"/>
      <c r="DE58" s="1537"/>
      <c r="DF58" s="1537"/>
      <c r="DG58" s="1537"/>
      <c r="DH58" s="1537"/>
      <c r="DI58" s="1537"/>
      <c r="DJ58" s="1537"/>
      <c r="DK58" s="1537"/>
      <c r="DL58" s="1537"/>
      <c r="DM58" s="1537"/>
      <c r="DN58" s="1537"/>
      <c r="DO58" s="1537"/>
      <c r="DP58" s="1537"/>
      <c r="DQ58" s="1537"/>
      <c r="DR58" s="1537"/>
      <c r="DS58" s="1537"/>
      <c r="DT58" s="1537"/>
      <c r="DU58" s="1537"/>
      <c r="DV58" s="1537"/>
      <c r="DW58" s="1537"/>
      <c r="DX58" s="1537"/>
      <c r="DY58" s="1537"/>
      <c r="DZ58" s="1537"/>
      <c r="EA58" s="1537"/>
      <c r="EB58" s="1537"/>
      <c r="EC58" s="1537"/>
      <c r="ED58" s="1537"/>
      <c r="EE58" s="1537"/>
      <c r="EF58" s="1537"/>
      <c r="EG58" s="1537"/>
      <c r="EH58" s="1537"/>
      <c r="EI58" s="1537"/>
      <c r="EJ58" s="1537"/>
      <c r="EK58" s="1537"/>
      <c r="EL58" s="1537"/>
      <c r="EM58" s="1537"/>
      <c r="EN58" s="1537"/>
      <c r="EO58" s="1537"/>
      <c r="EP58" s="1537"/>
      <c r="EQ58" s="1537"/>
      <c r="ER58" s="1537"/>
      <c r="ES58" s="1537"/>
      <c r="ET58" s="1537"/>
      <c r="EU58" s="1537"/>
      <c r="EV58" s="1537"/>
      <c r="EW58" s="1537"/>
      <c r="EX58" s="1537"/>
      <c r="EY58" s="1537"/>
      <c r="EZ58" s="1537"/>
      <c r="FA58" s="1537"/>
      <c r="FB58" s="1537"/>
      <c r="FC58" s="1537"/>
      <c r="FD58" s="1537"/>
      <c r="FE58" s="1537"/>
      <c r="FF58" s="1537"/>
      <c r="FG58" s="1537"/>
      <c r="FH58" s="1537"/>
      <c r="FI58" s="1537"/>
      <c r="FJ58" s="1537"/>
      <c r="FK58" s="1537"/>
      <c r="FL58" s="1537"/>
      <c r="FM58" s="1537"/>
      <c r="FN58" s="1537"/>
      <c r="FO58" s="1537"/>
      <c r="FP58" s="1537"/>
      <c r="FQ58" s="1537"/>
      <c r="FR58" s="1537"/>
      <c r="FS58" s="1537"/>
      <c r="FT58" s="1537"/>
      <c r="FU58" s="1537"/>
      <c r="FV58" s="1537"/>
      <c r="FW58" s="1537"/>
      <c r="FX58" s="1537"/>
      <c r="FY58" s="1537"/>
      <c r="FZ58" s="1537"/>
      <c r="GA58" s="1537"/>
      <c r="GB58" s="1537"/>
      <c r="GC58" s="1537"/>
      <c r="GD58" s="1537"/>
      <c r="GE58" s="1537"/>
      <c r="GF58" s="1537"/>
      <c r="GG58" s="1537"/>
      <c r="GH58" s="1537"/>
      <c r="GI58" s="1537"/>
      <c r="GJ58" s="1537"/>
      <c r="GK58" s="1537"/>
      <c r="GL58" s="1537"/>
      <c r="GM58" s="1537"/>
      <c r="GN58" s="1537"/>
      <c r="GO58" s="1537"/>
      <c r="GP58" s="1537"/>
      <c r="GQ58" s="1537"/>
      <c r="GR58" s="1537"/>
      <c r="GS58" s="1537"/>
      <c r="GT58" s="1537"/>
      <c r="GU58" s="1537"/>
      <c r="GV58" s="1537"/>
      <c r="GW58" s="1537"/>
      <c r="GX58" s="1537"/>
      <c r="GY58" s="1537"/>
      <c r="GZ58" s="1537"/>
      <c r="HA58" s="1537"/>
      <c r="HB58" s="1537"/>
      <c r="HC58" s="1537"/>
      <c r="HD58" s="1537"/>
      <c r="HE58" s="1537"/>
      <c r="HF58" s="1537"/>
      <c r="HG58" s="1537"/>
      <c r="HH58" s="1537"/>
      <c r="HI58" s="1537"/>
      <c r="HJ58" s="1537"/>
      <c r="HK58" s="1537"/>
      <c r="HL58" s="1537"/>
      <c r="HM58" s="1537"/>
      <c r="HN58" s="1537"/>
      <c r="HO58" s="1537"/>
      <c r="HP58" s="1537"/>
      <c r="HQ58" s="1537"/>
      <c r="HR58" s="1537"/>
      <c r="HS58" s="1537"/>
      <c r="HT58" s="1537"/>
      <c r="HU58" s="1537"/>
      <c r="HV58" s="1537"/>
      <c r="HW58" s="1537"/>
      <c r="HX58" s="1537"/>
      <c r="HY58" s="1537"/>
      <c r="HZ58" s="1537"/>
      <c r="IA58" s="1537"/>
      <c r="IB58" s="1537"/>
      <c r="IC58" s="1537"/>
      <c r="ID58" s="1537"/>
      <c r="IE58" s="1537"/>
      <c r="IF58" s="1537"/>
      <c r="IG58" s="1537"/>
      <c r="IH58" s="1537"/>
      <c r="II58" s="1537"/>
      <c r="IJ58" s="1537"/>
      <c r="IK58" s="1537"/>
      <c r="IL58" s="1537"/>
      <c r="IM58" s="1537"/>
      <c r="IN58" s="1537"/>
      <c r="IO58" s="1537"/>
      <c r="IP58" s="1537"/>
      <c r="IQ58" s="1537"/>
      <c r="IR58" s="1537"/>
      <c r="IS58" s="1537"/>
      <c r="IT58" s="1537"/>
      <c r="IU58" s="1537"/>
      <c r="IV58" s="1537"/>
    </row>
    <row r="59" spans="1:256">
      <c r="A59" s="1541"/>
      <c r="B59" s="1551"/>
      <c r="C59" s="1551"/>
      <c r="D59" s="1551"/>
      <c r="E59" s="1551"/>
      <c r="F59" s="1551"/>
      <c r="G59" s="1551"/>
      <c r="H59" s="1551"/>
      <c r="I59" s="1551"/>
      <c r="J59" s="1537"/>
      <c r="K59" s="1537"/>
      <c r="L59" s="1537"/>
      <c r="M59" s="1537"/>
      <c r="N59" s="1537"/>
      <c r="O59" s="1537"/>
      <c r="P59" s="1537"/>
      <c r="Q59" s="1537"/>
      <c r="R59" s="1537"/>
      <c r="S59" s="1537"/>
      <c r="T59" s="1537"/>
      <c r="U59" s="1537"/>
      <c r="V59" s="1537"/>
      <c r="W59" s="1537"/>
      <c r="X59" s="1537"/>
      <c r="Y59" s="1537"/>
      <c r="Z59" s="1537"/>
      <c r="AA59" s="1537"/>
      <c r="AB59" s="1537"/>
      <c r="AC59" s="1537"/>
      <c r="AD59" s="1537"/>
      <c r="AE59" s="1537"/>
      <c r="AF59" s="1537"/>
      <c r="AG59" s="1537"/>
      <c r="AH59" s="1537"/>
      <c r="AI59" s="1537"/>
      <c r="AJ59" s="1537"/>
      <c r="AK59" s="1537"/>
      <c r="AL59" s="1537"/>
      <c r="AM59" s="1537"/>
      <c r="AN59" s="1537"/>
      <c r="AO59" s="1537"/>
      <c r="AP59" s="1537"/>
      <c r="AQ59" s="1537"/>
      <c r="AR59" s="1537"/>
      <c r="AS59" s="1537"/>
      <c r="AT59" s="1537"/>
      <c r="AU59" s="1537"/>
      <c r="AV59" s="1537"/>
      <c r="AW59" s="1537"/>
      <c r="AX59" s="1537"/>
      <c r="AY59" s="1537"/>
      <c r="AZ59" s="1537"/>
      <c r="BA59" s="1537"/>
      <c r="BB59" s="1537"/>
      <c r="BC59" s="1537"/>
      <c r="BD59" s="1537"/>
      <c r="BE59" s="1537"/>
      <c r="BF59" s="1537"/>
      <c r="BG59" s="1537"/>
      <c r="BH59" s="1537"/>
      <c r="BI59" s="1537"/>
      <c r="BJ59" s="1537"/>
      <c r="BK59" s="1537"/>
      <c r="BL59" s="1537"/>
      <c r="BM59" s="1537"/>
      <c r="BN59" s="1537"/>
      <c r="BO59" s="1537"/>
      <c r="BP59" s="1537"/>
      <c r="BQ59" s="1537"/>
      <c r="BR59" s="1537"/>
      <c r="BS59" s="1537"/>
      <c r="BT59" s="1537"/>
      <c r="BU59" s="1537"/>
      <c r="BV59" s="1537"/>
      <c r="BW59" s="1537"/>
      <c r="BX59" s="1537"/>
      <c r="BY59" s="1537"/>
      <c r="BZ59" s="1537"/>
      <c r="CA59" s="1537"/>
      <c r="CB59" s="1537"/>
      <c r="CC59" s="1537"/>
      <c r="CD59" s="1537"/>
      <c r="CE59" s="1537"/>
      <c r="CF59" s="1537"/>
      <c r="CG59" s="1537"/>
      <c r="CH59" s="1537"/>
      <c r="CI59" s="1537"/>
      <c r="CJ59" s="1537"/>
      <c r="CK59" s="1537"/>
      <c r="CL59" s="1537"/>
      <c r="CM59" s="1537"/>
      <c r="CN59" s="1537"/>
      <c r="CO59" s="1537"/>
      <c r="CP59" s="1537"/>
      <c r="CQ59" s="1537"/>
      <c r="CR59" s="1537"/>
      <c r="CS59" s="1537"/>
      <c r="CT59" s="1537"/>
      <c r="CU59" s="1537"/>
      <c r="CV59" s="1537"/>
      <c r="CW59" s="1537"/>
      <c r="CX59" s="1537"/>
      <c r="CY59" s="1537"/>
      <c r="CZ59" s="1537"/>
      <c r="DA59" s="1537"/>
      <c r="DB59" s="1537"/>
      <c r="DC59" s="1537"/>
      <c r="DD59" s="1537"/>
      <c r="DE59" s="1537"/>
      <c r="DF59" s="1537"/>
      <c r="DG59" s="1537"/>
      <c r="DH59" s="1537"/>
      <c r="DI59" s="1537"/>
      <c r="DJ59" s="1537"/>
      <c r="DK59" s="1537"/>
      <c r="DL59" s="1537"/>
      <c r="DM59" s="1537"/>
      <c r="DN59" s="1537"/>
      <c r="DO59" s="1537"/>
      <c r="DP59" s="1537"/>
      <c r="DQ59" s="1537"/>
      <c r="DR59" s="1537"/>
      <c r="DS59" s="1537"/>
      <c r="DT59" s="1537"/>
      <c r="DU59" s="1537"/>
      <c r="DV59" s="1537"/>
      <c r="DW59" s="1537"/>
      <c r="DX59" s="1537"/>
      <c r="DY59" s="1537"/>
      <c r="DZ59" s="1537"/>
      <c r="EA59" s="1537"/>
      <c r="EB59" s="1537"/>
      <c r="EC59" s="1537"/>
      <c r="ED59" s="1537"/>
      <c r="EE59" s="1537"/>
      <c r="EF59" s="1537"/>
      <c r="EG59" s="1537"/>
      <c r="EH59" s="1537"/>
      <c r="EI59" s="1537"/>
      <c r="EJ59" s="1537"/>
      <c r="EK59" s="1537"/>
      <c r="EL59" s="1537"/>
      <c r="EM59" s="1537"/>
      <c r="EN59" s="1537"/>
      <c r="EO59" s="1537"/>
      <c r="EP59" s="1537"/>
      <c r="EQ59" s="1537"/>
      <c r="ER59" s="1537"/>
      <c r="ES59" s="1537"/>
      <c r="ET59" s="1537"/>
      <c r="EU59" s="1537"/>
      <c r="EV59" s="1537"/>
      <c r="EW59" s="1537"/>
      <c r="EX59" s="1537"/>
      <c r="EY59" s="1537"/>
      <c r="EZ59" s="1537"/>
      <c r="FA59" s="1537"/>
      <c r="FB59" s="1537"/>
      <c r="FC59" s="1537"/>
      <c r="FD59" s="1537"/>
      <c r="FE59" s="1537"/>
      <c r="FF59" s="1537"/>
      <c r="FG59" s="1537"/>
      <c r="FH59" s="1537"/>
      <c r="FI59" s="1537"/>
      <c r="FJ59" s="1537"/>
      <c r="FK59" s="1537"/>
      <c r="FL59" s="1537"/>
      <c r="FM59" s="1537"/>
      <c r="FN59" s="1537"/>
      <c r="FO59" s="1537"/>
      <c r="FP59" s="1537"/>
      <c r="FQ59" s="1537"/>
      <c r="FR59" s="1537"/>
      <c r="FS59" s="1537"/>
      <c r="FT59" s="1537"/>
      <c r="FU59" s="1537"/>
      <c r="FV59" s="1537"/>
      <c r="FW59" s="1537"/>
      <c r="FX59" s="1537"/>
      <c r="FY59" s="1537"/>
      <c r="FZ59" s="1537"/>
      <c r="GA59" s="1537"/>
      <c r="GB59" s="1537"/>
      <c r="GC59" s="1537"/>
      <c r="GD59" s="1537"/>
      <c r="GE59" s="1537"/>
      <c r="GF59" s="1537"/>
      <c r="GG59" s="1537"/>
      <c r="GH59" s="1537"/>
      <c r="GI59" s="1537"/>
      <c r="GJ59" s="1537"/>
      <c r="GK59" s="1537"/>
      <c r="GL59" s="1537"/>
      <c r="GM59" s="1537"/>
      <c r="GN59" s="1537"/>
      <c r="GO59" s="1537"/>
      <c r="GP59" s="1537"/>
      <c r="GQ59" s="1537"/>
      <c r="GR59" s="1537"/>
      <c r="GS59" s="1537"/>
      <c r="GT59" s="1537"/>
      <c r="GU59" s="1537"/>
      <c r="GV59" s="1537"/>
      <c r="GW59" s="1537"/>
      <c r="GX59" s="1537"/>
      <c r="GY59" s="1537"/>
      <c r="GZ59" s="1537"/>
      <c r="HA59" s="1537"/>
      <c r="HB59" s="1537"/>
      <c r="HC59" s="1537"/>
      <c r="HD59" s="1537"/>
      <c r="HE59" s="1537"/>
      <c r="HF59" s="1537"/>
      <c r="HG59" s="1537"/>
      <c r="HH59" s="1537"/>
      <c r="HI59" s="1537"/>
      <c r="HJ59" s="1537"/>
      <c r="HK59" s="1537"/>
      <c r="HL59" s="1537"/>
      <c r="HM59" s="1537"/>
      <c r="HN59" s="1537"/>
      <c r="HO59" s="1537"/>
      <c r="HP59" s="1537"/>
      <c r="HQ59" s="1537"/>
      <c r="HR59" s="1537"/>
      <c r="HS59" s="1537"/>
      <c r="HT59" s="1537"/>
      <c r="HU59" s="1537"/>
      <c r="HV59" s="1537"/>
      <c r="HW59" s="1537"/>
      <c r="HX59" s="1537"/>
      <c r="HY59" s="1537"/>
      <c r="HZ59" s="1537"/>
      <c r="IA59" s="1537"/>
      <c r="IB59" s="1537"/>
      <c r="IC59" s="1537"/>
      <c r="ID59" s="1537"/>
      <c r="IE59" s="1537"/>
      <c r="IF59" s="1537"/>
      <c r="IG59" s="1537"/>
      <c r="IH59" s="1537"/>
      <c r="II59" s="1537"/>
      <c r="IJ59" s="1537"/>
      <c r="IK59" s="1537"/>
      <c r="IL59" s="1537"/>
      <c r="IM59" s="1537"/>
      <c r="IN59" s="1537"/>
      <c r="IO59" s="1537"/>
      <c r="IP59" s="1537"/>
      <c r="IQ59" s="1537"/>
      <c r="IR59" s="1537"/>
      <c r="IS59" s="1537"/>
      <c r="IT59" s="1537"/>
      <c r="IU59" s="1537"/>
      <c r="IV59" s="1537"/>
    </row>
    <row r="60" spans="1:256" ht="13" thickBot="1">
      <c r="A60" s="1541">
        <f>+A58+1</f>
        <v>38</v>
      </c>
      <c r="B60" s="1552" t="str">
        <f>"Proration Adjustment - Line "&amp;A58&amp;" Col. "&amp;I42&amp;" less Col. "&amp;D42</f>
        <v>Proration Adjustment - Line 37 Col. (H) less Col. (C )</v>
      </c>
      <c r="C60" s="1552"/>
      <c r="D60" s="1552"/>
      <c r="E60" s="1552"/>
      <c r="F60" s="1552"/>
      <c r="G60" s="1552"/>
      <c r="H60" s="1552"/>
      <c r="I60" s="1553">
        <f>+I58-D58</f>
        <v>0</v>
      </c>
      <c r="J60" s="1537"/>
      <c r="K60" s="1537"/>
      <c r="L60" s="1537"/>
      <c r="M60" s="1537"/>
      <c r="N60" s="1537"/>
      <c r="O60" s="1537"/>
      <c r="P60" s="1537"/>
      <c r="Q60" s="1537"/>
      <c r="R60" s="1537"/>
      <c r="S60" s="1537"/>
      <c r="T60" s="1537"/>
      <c r="U60" s="1537"/>
      <c r="V60" s="1537"/>
      <c r="W60" s="1537"/>
      <c r="X60" s="1537"/>
      <c r="Y60" s="1537"/>
      <c r="Z60" s="1537"/>
      <c r="AA60" s="1537"/>
      <c r="AB60" s="1537"/>
      <c r="AC60" s="1537"/>
      <c r="AD60" s="1537"/>
      <c r="AE60" s="1537"/>
      <c r="AF60" s="1537"/>
      <c r="AG60" s="1537"/>
      <c r="AH60" s="1537"/>
      <c r="AI60" s="1537"/>
      <c r="AJ60" s="1537"/>
      <c r="AK60" s="1537"/>
      <c r="AL60" s="1537"/>
      <c r="AM60" s="1537"/>
      <c r="AN60" s="1537"/>
      <c r="AO60" s="1537"/>
      <c r="AP60" s="1537"/>
      <c r="AQ60" s="1537"/>
      <c r="AR60" s="1537"/>
      <c r="AS60" s="1537"/>
      <c r="AT60" s="1537"/>
      <c r="AU60" s="1537"/>
      <c r="AV60" s="1537"/>
      <c r="AW60" s="1537"/>
      <c r="AX60" s="1537"/>
      <c r="AY60" s="1537"/>
      <c r="AZ60" s="1537"/>
      <c r="BA60" s="1537"/>
      <c r="BB60" s="1537"/>
      <c r="BC60" s="1537"/>
      <c r="BD60" s="1537"/>
      <c r="BE60" s="1537"/>
      <c r="BF60" s="1537"/>
      <c r="BG60" s="1537"/>
      <c r="BH60" s="1537"/>
      <c r="BI60" s="1537"/>
      <c r="BJ60" s="1537"/>
      <c r="BK60" s="1537"/>
      <c r="BL60" s="1537"/>
      <c r="BM60" s="1537"/>
      <c r="BN60" s="1537"/>
      <c r="BO60" s="1537"/>
      <c r="BP60" s="1537"/>
      <c r="BQ60" s="1537"/>
      <c r="BR60" s="1537"/>
      <c r="BS60" s="1537"/>
      <c r="BT60" s="1537"/>
      <c r="BU60" s="1537"/>
      <c r="BV60" s="1537"/>
      <c r="BW60" s="1537"/>
      <c r="BX60" s="1537"/>
      <c r="BY60" s="1537"/>
      <c r="BZ60" s="1537"/>
      <c r="CA60" s="1537"/>
      <c r="CB60" s="1537"/>
      <c r="CC60" s="1537"/>
      <c r="CD60" s="1537"/>
      <c r="CE60" s="1537"/>
      <c r="CF60" s="1537"/>
      <c r="CG60" s="1537"/>
      <c r="CH60" s="1537"/>
      <c r="CI60" s="1537"/>
      <c r="CJ60" s="1537"/>
      <c r="CK60" s="1537"/>
      <c r="CL60" s="1537"/>
      <c r="CM60" s="1537"/>
      <c r="CN60" s="1537"/>
      <c r="CO60" s="1537"/>
      <c r="CP60" s="1537"/>
      <c r="CQ60" s="1537"/>
      <c r="CR60" s="1537"/>
      <c r="CS60" s="1537"/>
      <c r="CT60" s="1537"/>
      <c r="CU60" s="1537"/>
      <c r="CV60" s="1537"/>
      <c r="CW60" s="1537"/>
      <c r="CX60" s="1537"/>
      <c r="CY60" s="1537"/>
      <c r="CZ60" s="1537"/>
      <c r="DA60" s="1537"/>
      <c r="DB60" s="1537"/>
      <c r="DC60" s="1537"/>
      <c r="DD60" s="1537"/>
      <c r="DE60" s="1537"/>
      <c r="DF60" s="1537"/>
      <c r="DG60" s="1537"/>
      <c r="DH60" s="1537"/>
      <c r="DI60" s="1537"/>
      <c r="DJ60" s="1537"/>
      <c r="DK60" s="1537"/>
      <c r="DL60" s="1537"/>
      <c r="DM60" s="1537"/>
      <c r="DN60" s="1537"/>
      <c r="DO60" s="1537"/>
      <c r="DP60" s="1537"/>
      <c r="DQ60" s="1537"/>
      <c r="DR60" s="1537"/>
      <c r="DS60" s="1537"/>
      <c r="DT60" s="1537"/>
      <c r="DU60" s="1537"/>
      <c r="DV60" s="1537"/>
      <c r="DW60" s="1537"/>
      <c r="DX60" s="1537"/>
      <c r="DY60" s="1537"/>
      <c r="DZ60" s="1537"/>
      <c r="EA60" s="1537"/>
      <c r="EB60" s="1537"/>
      <c r="EC60" s="1537"/>
      <c r="ED60" s="1537"/>
      <c r="EE60" s="1537"/>
      <c r="EF60" s="1537"/>
      <c r="EG60" s="1537"/>
      <c r="EH60" s="1537"/>
      <c r="EI60" s="1537"/>
      <c r="EJ60" s="1537"/>
      <c r="EK60" s="1537"/>
      <c r="EL60" s="1537"/>
      <c r="EM60" s="1537"/>
      <c r="EN60" s="1537"/>
      <c r="EO60" s="1537"/>
      <c r="EP60" s="1537"/>
      <c r="EQ60" s="1537"/>
      <c r="ER60" s="1537"/>
      <c r="ES60" s="1537"/>
      <c r="ET60" s="1537"/>
      <c r="EU60" s="1537"/>
      <c r="EV60" s="1537"/>
      <c r="EW60" s="1537"/>
      <c r="EX60" s="1537"/>
      <c r="EY60" s="1537"/>
      <c r="EZ60" s="1537"/>
      <c r="FA60" s="1537"/>
      <c r="FB60" s="1537"/>
      <c r="FC60" s="1537"/>
      <c r="FD60" s="1537"/>
      <c r="FE60" s="1537"/>
      <c r="FF60" s="1537"/>
      <c r="FG60" s="1537"/>
      <c r="FH60" s="1537"/>
      <c r="FI60" s="1537"/>
      <c r="FJ60" s="1537"/>
      <c r="FK60" s="1537"/>
      <c r="FL60" s="1537"/>
      <c r="FM60" s="1537"/>
      <c r="FN60" s="1537"/>
      <c r="FO60" s="1537"/>
      <c r="FP60" s="1537"/>
      <c r="FQ60" s="1537"/>
      <c r="FR60" s="1537"/>
      <c r="FS60" s="1537"/>
      <c r="FT60" s="1537"/>
      <c r="FU60" s="1537"/>
      <c r="FV60" s="1537"/>
      <c r="FW60" s="1537"/>
      <c r="FX60" s="1537"/>
      <c r="FY60" s="1537"/>
      <c r="FZ60" s="1537"/>
      <c r="GA60" s="1537"/>
      <c r="GB60" s="1537"/>
      <c r="GC60" s="1537"/>
      <c r="GD60" s="1537"/>
      <c r="GE60" s="1537"/>
      <c r="GF60" s="1537"/>
      <c r="GG60" s="1537"/>
      <c r="GH60" s="1537"/>
      <c r="GI60" s="1537"/>
      <c r="GJ60" s="1537"/>
      <c r="GK60" s="1537"/>
      <c r="GL60" s="1537"/>
      <c r="GM60" s="1537"/>
      <c r="GN60" s="1537"/>
      <c r="GO60" s="1537"/>
      <c r="GP60" s="1537"/>
      <c r="GQ60" s="1537"/>
      <c r="GR60" s="1537"/>
      <c r="GS60" s="1537"/>
      <c r="GT60" s="1537"/>
      <c r="GU60" s="1537"/>
      <c r="GV60" s="1537"/>
      <c r="GW60" s="1537"/>
      <c r="GX60" s="1537"/>
      <c r="GY60" s="1537"/>
      <c r="GZ60" s="1537"/>
      <c r="HA60" s="1537"/>
      <c r="HB60" s="1537"/>
      <c r="HC60" s="1537"/>
      <c r="HD60" s="1537"/>
      <c r="HE60" s="1537"/>
      <c r="HF60" s="1537"/>
      <c r="HG60" s="1537"/>
      <c r="HH60" s="1537"/>
      <c r="HI60" s="1537"/>
      <c r="HJ60" s="1537"/>
      <c r="HK60" s="1537"/>
      <c r="HL60" s="1537"/>
      <c r="HM60" s="1537"/>
      <c r="HN60" s="1537"/>
      <c r="HO60" s="1537"/>
      <c r="HP60" s="1537"/>
      <c r="HQ60" s="1537"/>
      <c r="HR60" s="1537"/>
      <c r="HS60" s="1537"/>
      <c r="HT60" s="1537"/>
      <c r="HU60" s="1537"/>
      <c r="HV60" s="1537"/>
      <c r="HW60" s="1537"/>
      <c r="HX60" s="1537"/>
      <c r="HY60" s="1537"/>
      <c r="HZ60" s="1537"/>
      <c r="IA60" s="1537"/>
      <c r="IB60" s="1537"/>
      <c r="IC60" s="1537"/>
      <c r="ID60" s="1537"/>
      <c r="IE60" s="1537"/>
      <c r="IF60" s="1537"/>
      <c r="IG60" s="1537"/>
      <c r="IH60" s="1537"/>
      <c r="II60" s="1537"/>
      <c r="IJ60" s="1537"/>
      <c r="IK60" s="1537"/>
      <c r="IL60" s="1537"/>
      <c r="IM60" s="1537"/>
      <c r="IN60" s="1537"/>
      <c r="IO60" s="1537"/>
      <c r="IP60" s="1537"/>
      <c r="IQ60" s="1537"/>
      <c r="IR60" s="1537"/>
      <c r="IS60" s="1537"/>
      <c r="IT60" s="1537"/>
      <c r="IU60" s="1537"/>
      <c r="IV60" s="1537"/>
    </row>
    <row r="61" spans="1:256" ht="13" thickTop="1"/>
    <row r="62" spans="1:256">
      <c r="A62" s="635" t="s">
        <v>313</v>
      </c>
    </row>
    <row r="63" spans="1:256" ht="27.75" customHeight="1">
      <c r="A63" s="636">
        <v>1</v>
      </c>
      <c r="B63" s="2093" t="s">
        <v>805</v>
      </c>
      <c r="C63" s="2093"/>
      <c r="D63" s="2093"/>
      <c r="E63" s="2093"/>
      <c r="F63" s="2093"/>
      <c r="G63" s="2093"/>
      <c r="H63" s="2093"/>
      <c r="I63" s="2093"/>
    </row>
  </sheetData>
  <mergeCells count="9">
    <mergeCell ref="E10:F10"/>
    <mergeCell ref="E36:F36"/>
    <mergeCell ref="B63:I63"/>
    <mergeCell ref="A3:I3"/>
    <mergeCell ref="A4:I4"/>
    <mergeCell ref="A5:I5"/>
    <mergeCell ref="A6:I6"/>
    <mergeCell ref="B7:E7"/>
    <mergeCell ref="A8:I8"/>
  </mergeCells>
  <pageMargins left="0.7" right="0.7" top="0.75" bottom="0.75" header="0.3" footer="0.3"/>
  <pageSetup scale="61" orientation="portrait" r:id="rId1"/>
  <headerFooter>
    <oddHeader>&amp;RAEP - SPP Transco Formula Rate
TCOS - WS-C-3
Page: &amp;P of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0"/>
  <sheetViews>
    <sheetView zoomScale="70" zoomScaleNormal="70" zoomScaleSheetLayoutView="84" zoomScalePageLayoutView="80" workbookViewId="0">
      <selection activeCell="G10" sqref="G10"/>
    </sheetView>
  </sheetViews>
  <sheetFormatPr defaultColWidth="8.7265625" defaultRowHeight="12.75" customHeight="1"/>
  <cols>
    <col min="1" max="1" width="7.453125" style="132" customWidth="1"/>
    <col min="2" max="2" width="9" style="132" customWidth="1"/>
    <col min="3" max="3" width="45.7265625" style="132" customWidth="1"/>
    <col min="4" max="4" width="9.26953125" style="132" customWidth="1"/>
    <col min="5" max="5" width="13.26953125" style="132" customWidth="1"/>
    <col min="6" max="6" width="11.54296875" style="132" customWidth="1"/>
    <col min="7" max="7" width="12.81640625" style="132" customWidth="1"/>
    <col min="8" max="8" width="3.26953125" style="132" customWidth="1"/>
    <col min="9" max="10" width="14.81640625" style="132" customWidth="1"/>
    <col min="11" max="11" width="15.26953125" style="132" customWidth="1"/>
    <col min="12" max="12" width="2.453125" style="132" customWidth="1"/>
    <col min="13" max="13" width="10.453125" style="132" customWidth="1"/>
    <col min="14" max="14" width="14.1796875" style="132" customWidth="1"/>
    <col min="15" max="16" width="14.453125" style="132" customWidth="1"/>
    <col min="17" max="17" width="11.1796875" style="132" bestFit="1" customWidth="1"/>
    <col min="18" max="18" width="21.453125" style="132" customWidth="1"/>
    <col min="19" max="19" width="2.453125" style="132" customWidth="1"/>
    <col min="20" max="20" width="17.453125" style="132" customWidth="1"/>
    <col min="21" max="21" width="8.7265625" style="132"/>
    <col min="22" max="22" width="16.7265625" style="132" customWidth="1"/>
    <col min="23" max="16384" width="8.7265625" style="132"/>
  </cols>
  <sheetData>
    <row r="1" spans="1:23" ht="12.75" customHeight="1">
      <c r="A1" s="131"/>
    </row>
    <row r="2" spans="1:23" ht="15.5">
      <c r="H2" s="133" t="s">
        <v>678</v>
      </c>
      <c r="U2" s="132">
        <f>+'OKT TCOS'!N2</f>
        <v>2019</v>
      </c>
    </row>
    <row r="3" spans="1:23" ht="15.5">
      <c r="H3" s="134" t="s">
        <v>677</v>
      </c>
    </row>
    <row r="4" spans="1:23" ht="15.5">
      <c r="H4" s="58" t="str">
        <f>+'OKT Sch 11 Rates'!H4</f>
        <v>For True Up Year 2019</v>
      </c>
    </row>
    <row r="5" spans="1:23" ht="15.5">
      <c r="H5" s="53"/>
    </row>
    <row r="6" spans="1:23" ht="15.5">
      <c r="H6" s="135" t="s">
        <v>552</v>
      </c>
    </row>
    <row r="8" spans="1:23" ht="18">
      <c r="C8" s="136"/>
      <c r="E8" s="136"/>
      <c r="F8" s="136"/>
      <c r="G8" s="136"/>
      <c r="H8" s="137" t="str">
        <f>+'SWT TCOS'!F8</f>
        <v>AEP SOUTHWESTERN TRANSMISSION COMPANY</v>
      </c>
      <c r="I8" s="136"/>
      <c r="J8" s="136"/>
      <c r="K8" s="136"/>
    </row>
    <row r="9" spans="1:23" ht="12.5">
      <c r="D9" s="138"/>
    </row>
    <row r="10" spans="1:23" ht="12.5">
      <c r="A10" s="132" t="s">
        <v>681</v>
      </c>
    </row>
    <row r="13" spans="1:23" ht="24.75" customHeight="1" thickBot="1">
      <c r="A13" s="139" t="s">
        <v>300</v>
      </c>
      <c r="B13" s="139" t="s">
        <v>301</v>
      </c>
      <c r="C13" s="140" t="s">
        <v>47</v>
      </c>
      <c r="D13" s="139" t="s">
        <v>303</v>
      </c>
      <c r="E13" s="139" t="s">
        <v>228</v>
      </c>
      <c r="F13" s="139" t="s">
        <v>229</v>
      </c>
      <c r="G13" s="139" t="str">
        <f>"(G) = "&amp;E13&amp;" + "&amp;F13</f>
        <v>(G) = (E) + (F)</v>
      </c>
      <c r="H13" s="139"/>
      <c r="I13" s="139" t="s">
        <v>235</v>
      </c>
      <c r="J13" s="139" t="s">
        <v>176</v>
      </c>
      <c r="K13" s="139" t="str">
        <f>"(J) = "&amp;I13&amp;" - "&amp;J13</f>
        <v>(J) = (H) - (I)</v>
      </c>
      <c r="L13" s="139"/>
      <c r="M13" s="139" t="s">
        <v>842</v>
      </c>
      <c r="N13" s="139" t="s">
        <v>553</v>
      </c>
      <c r="O13" s="139" t="str">
        <f>"(M) = "&amp;M13&amp;"-"&amp;N13</f>
        <v>(M) = (K)-(L)</v>
      </c>
      <c r="P13" s="139" t="s">
        <v>843</v>
      </c>
      <c r="Q13" s="139" t="s">
        <v>555</v>
      </c>
      <c r="R13" s="139" t="str">
        <f>"(P) = "&amp;LEFT(K13,3)&amp;"+ "&amp;LEFT(P13,3)&amp;"+"&amp;LEFT(O13,3)&amp;"+"&amp;Q13</f>
        <v>(P) = (J)+ (N)+(M)+(O)</v>
      </c>
      <c r="S13" s="139"/>
      <c r="T13" s="139" t="str">
        <f>"(Q) = "&amp;LEFT(G13,3)&amp;" + "&amp;LEFT(R13,3)</f>
        <v>(Q) = (G) + (P)</v>
      </c>
      <c r="U13" s="139"/>
      <c r="V13" s="142"/>
      <c r="W13" s="142"/>
    </row>
    <row r="14" spans="1:23" ht="16.5" customHeight="1" thickBot="1">
      <c r="A14" s="143"/>
      <c r="B14" s="144"/>
      <c r="C14" s="144"/>
      <c r="D14" s="144"/>
      <c r="E14" s="1972" t="str">
        <f>"Projected ARR For "&amp;U2&amp;" From WS-F"</f>
        <v>Projected ARR For 2019 From WS-F</v>
      </c>
      <c r="F14" s="1972"/>
      <c r="G14" s="1972"/>
      <c r="H14" s="144"/>
      <c r="I14" s="1972" t="str">
        <f>"True Up ARR For "&amp;U2-2&amp;" From WS-G"</f>
        <v>True Up ARR For 2017 From WS-G</v>
      </c>
      <c r="J14" s="1972"/>
      <c r="K14" s="1972"/>
      <c r="L14" s="145"/>
      <c r="M14" s="145" t="s">
        <v>557</v>
      </c>
      <c r="N14" s="146"/>
      <c r="O14" s="146"/>
      <c r="P14" s="147"/>
      <c r="Q14" s="148"/>
      <c r="R14" s="149"/>
      <c r="S14" s="144"/>
      <c r="T14" s="150"/>
      <c r="U14" s="151"/>
    </row>
    <row r="15" spans="1:23" ht="76.900000000000006" customHeight="1" thickBot="1">
      <c r="A15" s="152" t="s">
        <v>558</v>
      </c>
      <c r="B15" s="153" t="s">
        <v>559</v>
      </c>
      <c r="C15" s="153" t="s">
        <v>560</v>
      </c>
      <c r="D15" s="153" t="s">
        <v>561</v>
      </c>
      <c r="E15" s="153" t="s">
        <v>556</v>
      </c>
      <c r="F15" s="153" t="s">
        <v>562</v>
      </c>
      <c r="G15" s="153" t="s">
        <v>257</v>
      </c>
      <c r="H15" s="153"/>
      <c r="I15" s="153" t="s">
        <v>915</v>
      </c>
      <c r="J15" s="153" t="s">
        <v>916</v>
      </c>
      <c r="K15" s="153" t="s">
        <v>913</v>
      </c>
      <c r="L15" s="153"/>
      <c r="M15" s="153" t="s">
        <v>563</v>
      </c>
      <c r="N15" s="153" t="s">
        <v>917</v>
      </c>
      <c r="O15" s="153" t="s">
        <v>913</v>
      </c>
      <c r="P15" s="153" t="s">
        <v>925</v>
      </c>
      <c r="Q15" s="153" t="s">
        <v>914</v>
      </c>
      <c r="R15" s="153" t="s">
        <v>926</v>
      </c>
      <c r="S15" s="154"/>
      <c r="T15" s="155" t="str">
        <f>"Total ADJUSTED Revenue Requirement Effective
1/1/"&amp;U2&amp;""</f>
        <v>Total ADJUSTED Revenue Requirement Effective
1/1/2019</v>
      </c>
      <c r="V15" s="156" t="s">
        <v>676</v>
      </c>
    </row>
    <row r="16" spans="1:23" ht="13">
      <c r="A16" s="157"/>
      <c r="B16" s="158"/>
      <c r="C16" s="158"/>
      <c r="D16" s="159"/>
      <c r="E16" s="160"/>
      <c r="F16" s="160"/>
      <c r="G16" s="160"/>
      <c r="H16" s="159"/>
      <c r="I16" s="160"/>
      <c r="J16" s="160"/>
      <c r="K16" s="160"/>
      <c r="L16" s="160"/>
      <c r="M16" s="160"/>
      <c r="N16" s="160"/>
      <c r="O16" s="160"/>
      <c r="P16" s="160"/>
      <c r="Q16" s="160"/>
      <c r="R16" s="160"/>
      <c r="S16" s="159"/>
      <c r="T16" s="161"/>
      <c r="V16" s="162"/>
    </row>
    <row r="17" spans="1:23" ht="13">
      <c r="A17" s="221"/>
      <c r="B17" s="181"/>
      <c r="C17" s="222"/>
      <c r="D17" s="183"/>
      <c r="E17" s="178"/>
      <c r="F17" s="179"/>
      <c r="G17" s="179">
        <f t="shared" ref="G17:G33" si="0">+E17+F17</f>
        <v>0</v>
      </c>
      <c r="H17" s="174"/>
      <c r="I17" s="178"/>
      <c r="J17" s="178"/>
      <c r="K17" s="178">
        <f t="shared" ref="K17:K33" si="1">+I17-J17</f>
        <v>0</v>
      </c>
      <c r="L17" s="178"/>
      <c r="M17" s="179">
        <v>0</v>
      </c>
      <c r="N17" s="179">
        <v>0</v>
      </c>
      <c r="O17" s="179">
        <f t="shared" ref="O17:O33" si="2">+M17-N17</f>
        <v>0</v>
      </c>
      <c r="P17" s="178"/>
      <c r="Q17" s="178"/>
      <c r="R17" s="184">
        <f>K17+O17+P17+Q17</f>
        <v>0</v>
      </c>
      <c r="S17" s="184"/>
      <c r="T17" s="223">
        <f>+G17+R17</f>
        <v>0</v>
      </c>
      <c r="V17" s="187">
        <f>+K17+O17+P17</f>
        <v>0</v>
      </c>
      <c r="W17" s="132">
        <f t="shared" ref="W17:W33" si="3">A17</f>
        <v>0</v>
      </c>
    </row>
    <row r="18" spans="1:23" ht="13">
      <c r="A18" s="221"/>
      <c r="B18" s="181"/>
      <c r="C18" s="222"/>
      <c r="D18" s="183"/>
      <c r="E18" s="178"/>
      <c r="F18" s="179"/>
      <c r="G18" s="179">
        <f t="shared" si="0"/>
        <v>0</v>
      </c>
      <c r="H18" s="174"/>
      <c r="I18" s="178"/>
      <c r="J18" s="178"/>
      <c r="K18" s="178">
        <f t="shared" si="1"/>
        <v>0</v>
      </c>
      <c r="L18" s="178"/>
      <c r="M18" s="179">
        <v>0</v>
      </c>
      <c r="N18" s="179">
        <v>0</v>
      </c>
      <c r="O18" s="179">
        <f t="shared" si="2"/>
        <v>0</v>
      </c>
      <c r="P18" s="178"/>
      <c r="Q18" s="178"/>
      <c r="R18" s="184">
        <f t="shared" ref="R18:R33" si="4">K18+O18+P18+Q18</f>
        <v>0</v>
      </c>
      <c r="S18" s="184"/>
      <c r="T18" s="186">
        <f t="shared" ref="T18:T33" si="5">+G18+R18</f>
        <v>0</v>
      </c>
      <c r="V18" s="187">
        <f t="shared" ref="V18:V33" si="6">+K18+O18+P18</f>
        <v>0</v>
      </c>
      <c r="W18" s="132">
        <f t="shared" si="3"/>
        <v>0</v>
      </c>
    </row>
    <row r="19" spans="1:23" ht="13">
      <c r="A19" s="221"/>
      <c r="B19" s="181"/>
      <c r="C19" s="182"/>
      <c r="D19" s="183"/>
      <c r="E19" s="178"/>
      <c r="F19" s="179"/>
      <c r="G19" s="179">
        <f t="shared" si="0"/>
        <v>0</v>
      </c>
      <c r="H19" s="174"/>
      <c r="I19" s="178"/>
      <c r="J19" s="178"/>
      <c r="K19" s="178">
        <f t="shared" si="1"/>
        <v>0</v>
      </c>
      <c r="L19" s="178"/>
      <c r="M19" s="179">
        <v>0</v>
      </c>
      <c r="N19" s="179">
        <v>0</v>
      </c>
      <c r="O19" s="179">
        <f t="shared" si="2"/>
        <v>0</v>
      </c>
      <c r="P19" s="178"/>
      <c r="Q19" s="178"/>
      <c r="R19" s="184">
        <f t="shared" si="4"/>
        <v>0</v>
      </c>
      <c r="S19" s="184"/>
      <c r="T19" s="186">
        <f t="shared" si="5"/>
        <v>0</v>
      </c>
      <c r="V19" s="187">
        <f t="shared" si="6"/>
        <v>0</v>
      </c>
      <c r="W19" s="132">
        <f t="shared" si="3"/>
        <v>0</v>
      </c>
    </row>
    <row r="20" spans="1:23" ht="13">
      <c r="A20" s="221"/>
      <c r="B20" s="181"/>
      <c r="C20" s="182"/>
      <c r="D20" s="183"/>
      <c r="E20" s="178"/>
      <c r="F20" s="179"/>
      <c r="G20" s="179">
        <f t="shared" si="0"/>
        <v>0</v>
      </c>
      <c r="H20" s="174"/>
      <c r="I20" s="178"/>
      <c r="J20" s="178"/>
      <c r="K20" s="178">
        <f t="shared" si="1"/>
        <v>0</v>
      </c>
      <c r="L20" s="178"/>
      <c r="M20" s="179">
        <v>0</v>
      </c>
      <c r="N20" s="179">
        <v>0</v>
      </c>
      <c r="O20" s="179">
        <f t="shared" si="2"/>
        <v>0</v>
      </c>
      <c r="P20" s="178"/>
      <c r="Q20" s="178"/>
      <c r="R20" s="184">
        <f t="shared" si="4"/>
        <v>0</v>
      </c>
      <c r="S20" s="184"/>
      <c r="T20" s="186">
        <f t="shared" si="5"/>
        <v>0</v>
      </c>
      <c r="V20" s="187">
        <f t="shared" si="6"/>
        <v>0</v>
      </c>
      <c r="W20" s="132">
        <f t="shared" si="3"/>
        <v>0</v>
      </c>
    </row>
    <row r="21" spans="1:23" ht="13">
      <c r="A21" s="221"/>
      <c r="B21" s="181"/>
      <c r="C21" s="182"/>
      <c r="D21" s="183"/>
      <c r="E21" s="178"/>
      <c r="F21" s="179"/>
      <c r="G21" s="179">
        <f t="shared" si="0"/>
        <v>0</v>
      </c>
      <c r="H21" s="174"/>
      <c r="I21" s="178"/>
      <c r="J21" s="178"/>
      <c r="K21" s="178">
        <f t="shared" si="1"/>
        <v>0</v>
      </c>
      <c r="L21" s="178"/>
      <c r="M21" s="179">
        <v>0</v>
      </c>
      <c r="N21" s="179">
        <v>0</v>
      </c>
      <c r="O21" s="179">
        <f t="shared" si="2"/>
        <v>0</v>
      </c>
      <c r="P21" s="178"/>
      <c r="Q21" s="178"/>
      <c r="R21" s="184">
        <f t="shared" si="4"/>
        <v>0</v>
      </c>
      <c r="S21" s="184"/>
      <c r="T21" s="186">
        <f t="shared" si="5"/>
        <v>0</v>
      </c>
      <c r="V21" s="187">
        <f t="shared" si="6"/>
        <v>0</v>
      </c>
      <c r="W21" s="132">
        <f t="shared" si="3"/>
        <v>0</v>
      </c>
    </row>
    <row r="22" spans="1:23" ht="13">
      <c r="A22" s="221"/>
      <c r="B22" s="181"/>
      <c r="C22" s="182"/>
      <c r="D22" s="183"/>
      <c r="E22" s="178"/>
      <c r="F22" s="179"/>
      <c r="G22" s="179">
        <f t="shared" si="0"/>
        <v>0</v>
      </c>
      <c r="H22" s="174"/>
      <c r="I22" s="178"/>
      <c r="J22" s="178"/>
      <c r="K22" s="178">
        <f t="shared" si="1"/>
        <v>0</v>
      </c>
      <c r="L22" s="178"/>
      <c r="M22" s="179">
        <v>0</v>
      </c>
      <c r="N22" s="179">
        <v>0</v>
      </c>
      <c r="O22" s="179">
        <f t="shared" si="2"/>
        <v>0</v>
      </c>
      <c r="P22" s="178"/>
      <c r="Q22" s="178"/>
      <c r="R22" s="184">
        <f t="shared" si="4"/>
        <v>0</v>
      </c>
      <c r="S22" s="184"/>
      <c r="T22" s="186">
        <f t="shared" si="5"/>
        <v>0</v>
      </c>
      <c r="U22" s="224"/>
      <c r="V22" s="187">
        <f t="shared" si="6"/>
        <v>0</v>
      </c>
      <c r="W22" s="224">
        <f t="shared" si="3"/>
        <v>0</v>
      </c>
    </row>
    <row r="23" spans="1:23" ht="13">
      <c r="A23" s="221"/>
      <c r="B23" s="181"/>
      <c r="C23" s="182"/>
      <c r="D23" s="183"/>
      <c r="E23" s="178"/>
      <c r="F23" s="179"/>
      <c r="G23" s="179">
        <f t="shared" si="0"/>
        <v>0</v>
      </c>
      <c r="H23" s="174"/>
      <c r="I23" s="178"/>
      <c r="J23" s="178"/>
      <c r="K23" s="178">
        <f t="shared" si="1"/>
        <v>0</v>
      </c>
      <c r="L23" s="178"/>
      <c r="M23" s="179">
        <v>0</v>
      </c>
      <c r="N23" s="179">
        <v>0</v>
      </c>
      <c r="O23" s="179">
        <f t="shared" si="2"/>
        <v>0</v>
      </c>
      <c r="P23" s="178"/>
      <c r="Q23" s="178"/>
      <c r="R23" s="184">
        <f t="shared" si="4"/>
        <v>0</v>
      </c>
      <c r="S23" s="185"/>
      <c r="T23" s="186">
        <f t="shared" si="5"/>
        <v>0</v>
      </c>
      <c r="V23" s="187">
        <f t="shared" si="6"/>
        <v>0</v>
      </c>
      <c r="W23" s="132">
        <f t="shared" si="3"/>
        <v>0</v>
      </c>
    </row>
    <row r="24" spans="1:23" ht="13">
      <c r="A24" s="221"/>
      <c r="B24" s="181"/>
      <c r="C24" s="182"/>
      <c r="D24" s="183"/>
      <c r="E24" s="178"/>
      <c r="F24" s="179"/>
      <c r="G24" s="179">
        <f t="shared" si="0"/>
        <v>0</v>
      </c>
      <c r="H24" s="174"/>
      <c r="I24" s="178"/>
      <c r="J24" s="178"/>
      <c r="K24" s="178">
        <f t="shared" si="1"/>
        <v>0</v>
      </c>
      <c r="L24" s="178"/>
      <c r="M24" s="179">
        <v>0</v>
      </c>
      <c r="N24" s="179">
        <v>0</v>
      </c>
      <c r="O24" s="179">
        <f t="shared" si="2"/>
        <v>0</v>
      </c>
      <c r="P24" s="178"/>
      <c r="Q24" s="178"/>
      <c r="R24" s="184">
        <f t="shared" si="4"/>
        <v>0</v>
      </c>
      <c r="S24" s="184"/>
      <c r="T24" s="186">
        <f t="shared" si="5"/>
        <v>0</v>
      </c>
      <c r="V24" s="187">
        <f t="shared" si="6"/>
        <v>0</v>
      </c>
      <c r="W24" s="132">
        <f t="shared" si="3"/>
        <v>0</v>
      </c>
    </row>
    <row r="25" spans="1:23" ht="13">
      <c r="A25" s="221"/>
      <c r="B25" s="181"/>
      <c r="C25" s="182"/>
      <c r="D25" s="183"/>
      <c r="E25" s="178"/>
      <c r="F25" s="179"/>
      <c r="G25" s="179">
        <f t="shared" si="0"/>
        <v>0</v>
      </c>
      <c r="H25" s="174"/>
      <c r="I25" s="178"/>
      <c r="J25" s="178"/>
      <c r="K25" s="178">
        <f t="shared" si="1"/>
        <v>0</v>
      </c>
      <c r="L25" s="178"/>
      <c r="M25" s="179">
        <v>0</v>
      </c>
      <c r="N25" s="179">
        <v>0</v>
      </c>
      <c r="O25" s="179">
        <f t="shared" si="2"/>
        <v>0</v>
      </c>
      <c r="P25" s="178"/>
      <c r="Q25" s="178"/>
      <c r="R25" s="184">
        <f t="shared" si="4"/>
        <v>0</v>
      </c>
      <c r="S25" s="184"/>
      <c r="T25" s="186">
        <f t="shared" si="5"/>
        <v>0</v>
      </c>
      <c r="V25" s="187">
        <f t="shared" si="6"/>
        <v>0</v>
      </c>
      <c r="W25" s="132">
        <f t="shared" si="3"/>
        <v>0</v>
      </c>
    </row>
    <row r="26" spans="1:23" ht="13">
      <c r="A26" s="221"/>
      <c r="B26" s="181"/>
      <c r="C26" s="225"/>
      <c r="D26" s="183"/>
      <c r="E26" s="178"/>
      <c r="F26" s="179"/>
      <c r="G26" s="179">
        <f t="shared" si="0"/>
        <v>0</v>
      </c>
      <c r="H26" s="174"/>
      <c r="I26" s="178"/>
      <c r="J26" s="178"/>
      <c r="K26" s="178">
        <f t="shared" si="1"/>
        <v>0</v>
      </c>
      <c r="L26" s="178"/>
      <c r="M26" s="179">
        <v>0</v>
      </c>
      <c r="N26" s="179">
        <v>0</v>
      </c>
      <c r="O26" s="179">
        <f t="shared" si="2"/>
        <v>0</v>
      </c>
      <c r="P26" s="178"/>
      <c r="Q26" s="178"/>
      <c r="R26" s="184">
        <f t="shared" si="4"/>
        <v>0</v>
      </c>
      <c r="S26" s="184"/>
      <c r="T26" s="186">
        <f t="shared" si="5"/>
        <v>0</v>
      </c>
      <c r="V26" s="187">
        <f t="shared" si="6"/>
        <v>0</v>
      </c>
      <c r="W26" s="132">
        <f t="shared" si="3"/>
        <v>0</v>
      </c>
    </row>
    <row r="27" spans="1:23" ht="16.5" customHeight="1">
      <c r="A27" s="221"/>
      <c r="B27" s="181"/>
      <c r="C27" s="225"/>
      <c r="D27" s="183"/>
      <c r="E27" s="178"/>
      <c r="F27" s="179"/>
      <c r="G27" s="179">
        <f t="shared" si="0"/>
        <v>0</v>
      </c>
      <c r="H27" s="174"/>
      <c r="I27" s="178"/>
      <c r="J27" s="178"/>
      <c r="K27" s="178">
        <f t="shared" si="1"/>
        <v>0</v>
      </c>
      <c r="L27" s="178"/>
      <c r="M27" s="179">
        <v>0</v>
      </c>
      <c r="N27" s="179">
        <v>0</v>
      </c>
      <c r="O27" s="179">
        <f t="shared" si="2"/>
        <v>0</v>
      </c>
      <c r="P27" s="178"/>
      <c r="Q27" s="178"/>
      <c r="R27" s="184">
        <f t="shared" si="4"/>
        <v>0</v>
      </c>
      <c r="S27" s="184"/>
      <c r="T27" s="186">
        <f t="shared" si="5"/>
        <v>0</v>
      </c>
      <c r="V27" s="187">
        <f t="shared" si="6"/>
        <v>0</v>
      </c>
      <c r="W27" s="132">
        <f t="shared" si="3"/>
        <v>0</v>
      </c>
    </row>
    <row r="28" spans="1:23" ht="13">
      <c r="A28" s="221"/>
      <c r="B28" s="181"/>
      <c r="C28" s="182"/>
      <c r="D28" s="183"/>
      <c r="E28" s="178"/>
      <c r="F28" s="179"/>
      <c r="G28" s="179">
        <f t="shared" si="0"/>
        <v>0</v>
      </c>
      <c r="H28" s="174"/>
      <c r="I28" s="178"/>
      <c r="J28" s="178"/>
      <c r="K28" s="178">
        <f t="shared" si="1"/>
        <v>0</v>
      </c>
      <c r="L28" s="178"/>
      <c r="M28" s="179">
        <v>0</v>
      </c>
      <c r="N28" s="179">
        <v>0</v>
      </c>
      <c r="O28" s="179">
        <f t="shared" si="2"/>
        <v>0</v>
      </c>
      <c r="P28" s="178"/>
      <c r="Q28" s="178"/>
      <c r="R28" s="184">
        <f t="shared" si="4"/>
        <v>0</v>
      </c>
      <c r="S28" s="184"/>
      <c r="T28" s="186">
        <f t="shared" si="5"/>
        <v>0</v>
      </c>
      <c r="V28" s="187">
        <f t="shared" si="6"/>
        <v>0</v>
      </c>
      <c r="W28" s="132">
        <f t="shared" si="3"/>
        <v>0</v>
      </c>
    </row>
    <row r="29" spans="1:23" ht="13">
      <c r="A29" s="221"/>
      <c r="B29" s="181"/>
      <c r="C29" s="182"/>
      <c r="D29" s="183"/>
      <c r="E29" s="178"/>
      <c r="F29" s="179"/>
      <c r="G29" s="179">
        <f t="shared" si="0"/>
        <v>0</v>
      </c>
      <c r="H29" s="174"/>
      <c r="I29" s="178"/>
      <c r="J29" s="178"/>
      <c r="K29" s="178">
        <f t="shared" si="1"/>
        <v>0</v>
      </c>
      <c r="L29" s="178"/>
      <c r="M29" s="179">
        <v>0</v>
      </c>
      <c r="N29" s="179">
        <v>0</v>
      </c>
      <c r="O29" s="179">
        <f t="shared" si="2"/>
        <v>0</v>
      </c>
      <c r="P29" s="178"/>
      <c r="Q29" s="178"/>
      <c r="R29" s="184">
        <f t="shared" si="4"/>
        <v>0</v>
      </c>
      <c r="S29" s="184"/>
      <c r="T29" s="186">
        <f t="shared" si="5"/>
        <v>0</v>
      </c>
      <c r="V29" s="187">
        <f t="shared" si="6"/>
        <v>0</v>
      </c>
      <c r="W29" s="132">
        <f t="shared" si="3"/>
        <v>0</v>
      </c>
    </row>
    <row r="30" spans="1:23" ht="13">
      <c r="A30" s="221"/>
      <c r="B30" s="181"/>
      <c r="C30" s="225"/>
      <c r="D30" s="183"/>
      <c r="E30" s="178"/>
      <c r="F30" s="179"/>
      <c r="G30" s="179">
        <f t="shared" si="0"/>
        <v>0</v>
      </c>
      <c r="H30" s="174"/>
      <c r="I30" s="178"/>
      <c r="J30" s="178"/>
      <c r="K30" s="178">
        <f t="shared" si="1"/>
        <v>0</v>
      </c>
      <c r="L30" s="178"/>
      <c r="M30" s="179">
        <v>0</v>
      </c>
      <c r="N30" s="179">
        <v>0</v>
      </c>
      <c r="O30" s="179">
        <f t="shared" si="2"/>
        <v>0</v>
      </c>
      <c r="P30" s="178"/>
      <c r="Q30" s="178"/>
      <c r="R30" s="184">
        <f t="shared" si="4"/>
        <v>0</v>
      </c>
      <c r="S30" s="185"/>
      <c r="T30" s="186">
        <f t="shared" si="5"/>
        <v>0</v>
      </c>
      <c r="V30" s="187">
        <f t="shared" si="6"/>
        <v>0</v>
      </c>
      <c r="W30" s="132">
        <f t="shared" si="3"/>
        <v>0</v>
      </c>
    </row>
    <row r="31" spans="1:23" ht="13">
      <c r="A31" s="221"/>
      <c r="B31" s="181"/>
      <c r="C31" s="182"/>
      <c r="D31" s="183"/>
      <c r="E31" s="178"/>
      <c r="F31" s="179"/>
      <c r="G31" s="179">
        <f t="shared" si="0"/>
        <v>0</v>
      </c>
      <c r="H31" s="174"/>
      <c r="I31" s="178"/>
      <c r="J31" s="178"/>
      <c r="K31" s="178">
        <f t="shared" si="1"/>
        <v>0</v>
      </c>
      <c r="L31" s="178"/>
      <c r="M31" s="179">
        <v>0</v>
      </c>
      <c r="N31" s="179">
        <v>0</v>
      </c>
      <c r="O31" s="179">
        <f t="shared" si="2"/>
        <v>0</v>
      </c>
      <c r="P31" s="178"/>
      <c r="Q31" s="178"/>
      <c r="R31" s="184">
        <f t="shared" si="4"/>
        <v>0</v>
      </c>
      <c r="S31" s="184"/>
      <c r="T31" s="186">
        <f t="shared" si="5"/>
        <v>0</v>
      </c>
      <c r="V31" s="187">
        <f t="shared" si="6"/>
        <v>0</v>
      </c>
      <c r="W31" s="132">
        <f t="shared" si="3"/>
        <v>0</v>
      </c>
    </row>
    <row r="32" spans="1:23" ht="13">
      <c r="A32" s="221"/>
      <c r="B32" s="181"/>
      <c r="C32" s="182"/>
      <c r="D32" s="183"/>
      <c r="E32" s="178"/>
      <c r="F32" s="179"/>
      <c r="G32" s="179">
        <f t="shared" si="0"/>
        <v>0</v>
      </c>
      <c r="H32" s="174"/>
      <c r="I32" s="178"/>
      <c r="J32" s="178"/>
      <c r="K32" s="178">
        <f t="shared" si="1"/>
        <v>0</v>
      </c>
      <c r="L32" s="178"/>
      <c r="M32" s="179">
        <v>0</v>
      </c>
      <c r="N32" s="179">
        <v>0</v>
      </c>
      <c r="O32" s="179">
        <f t="shared" si="2"/>
        <v>0</v>
      </c>
      <c r="P32" s="178"/>
      <c r="Q32" s="178"/>
      <c r="R32" s="184">
        <f t="shared" si="4"/>
        <v>0</v>
      </c>
      <c r="S32" s="184"/>
      <c r="T32" s="186">
        <f t="shared" si="5"/>
        <v>0</v>
      </c>
      <c r="V32" s="187">
        <f t="shared" si="6"/>
        <v>0</v>
      </c>
      <c r="W32" s="132">
        <f t="shared" si="3"/>
        <v>0</v>
      </c>
    </row>
    <row r="33" spans="1:23" ht="13">
      <c r="A33" s="221"/>
      <c r="B33" s="181"/>
      <c r="C33" s="182"/>
      <c r="D33" s="183"/>
      <c r="E33" s="178"/>
      <c r="F33" s="179"/>
      <c r="G33" s="179">
        <f t="shared" si="0"/>
        <v>0</v>
      </c>
      <c r="H33" s="174"/>
      <c r="I33" s="178"/>
      <c r="J33" s="178"/>
      <c r="K33" s="178">
        <f t="shared" si="1"/>
        <v>0</v>
      </c>
      <c r="L33" s="178"/>
      <c r="M33" s="179">
        <v>0</v>
      </c>
      <c r="N33" s="179">
        <v>0</v>
      </c>
      <c r="O33" s="179">
        <f t="shared" si="2"/>
        <v>0</v>
      </c>
      <c r="P33" s="178"/>
      <c r="Q33" s="178"/>
      <c r="R33" s="184">
        <f t="shared" si="4"/>
        <v>0</v>
      </c>
      <c r="S33" s="184"/>
      <c r="T33" s="186">
        <f t="shared" si="5"/>
        <v>0</v>
      </c>
      <c r="V33" s="187">
        <f t="shared" si="6"/>
        <v>0</v>
      </c>
      <c r="W33" s="132">
        <f t="shared" si="3"/>
        <v>0</v>
      </c>
    </row>
    <row r="34" spans="1:23" ht="17.25" customHeight="1">
      <c r="A34" s="180"/>
      <c r="B34" s="181"/>
      <c r="C34" s="182"/>
      <c r="D34" s="183"/>
      <c r="E34" s="178"/>
      <c r="F34" s="179"/>
      <c r="G34" s="179"/>
      <c r="H34" s="174"/>
      <c r="I34" s="226"/>
      <c r="J34" s="226"/>
      <c r="K34" s="178"/>
      <c r="L34" s="178"/>
      <c r="M34" s="179"/>
      <c r="N34" s="179"/>
      <c r="O34" s="179"/>
      <c r="P34" s="179"/>
      <c r="Q34" s="178"/>
      <c r="R34" s="184"/>
      <c r="S34" s="185"/>
      <c r="T34" s="186"/>
      <c r="V34" s="187"/>
    </row>
    <row r="35" spans="1:23" ht="13">
      <c r="A35" s="188"/>
      <c r="B35" s="189"/>
      <c r="C35" s="189"/>
      <c r="D35" s="181"/>
      <c r="E35" s="190"/>
      <c r="F35" s="190"/>
      <c r="G35" s="190"/>
      <c r="H35" s="184"/>
      <c r="I35" s="191"/>
      <c r="J35" s="191"/>
      <c r="K35" s="190"/>
      <c r="L35" s="190"/>
      <c r="M35" s="190"/>
      <c r="N35" s="190"/>
      <c r="O35" s="190"/>
      <c r="P35" s="190"/>
      <c r="Q35" s="190"/>
      <c r="R35" s="190"/>
      <c r="S35" s="184"/>
      <c r="T35" s="192"/>
      <c r="V35" s="193"/>
    </row>
    <row r="36" spans="1:23" ht="13.5" thickBot="1">
      <c r="A36" s="194"/>
      <c r="B36" s="195"/>
      <c r="C36" s="196" t="s">
        <v>955</v>
      </c>
      <c r="D36" s="197"/>
      <c r="E36" s="198">
        <f>SUM(E17:E35)</f>
        <v>0</v>
      </c>
      <c r="F36" s="198">
        <f>SUM(F17:F35)</f>
        <v>0</v>
      </c>
      <c r="G36" s="198">
        <f>SUM(G17:G35)</f>
        <v>0</v>
      </c>
      <c r="H36" s="198"/>
      <c r="I36" s="199">
        <f>SUM(I17:I35)</f>
        <v>0</v>
      </c>
      <c r="J36" s="199">
        <f>SUM(J17:J35)</f>
        <v>0</v>
      </c>
      <c r="K36" s="198">
        <f>SUM(K17:K35)</f>
        <v>0</v>
      </c>
      <c r="L36" s="198"/>
      <c r="M36" s="198">
        <f>SUM(M17:M35)</f>
        <v>0</v>
      </c>
      <c r="N36" s="198">
        <f>SUM(N17:N35)</f>
        <v>0</v>
      </c>
      <c r="O36" s="198">
        <f>SUM(O17:O35)</f>
        <v>0</v>
      </c>
      <c r="P36" s="200"/>
      <c r="Q36" s="200"/>
      <c r="R36" s="198">
        <f>SUM(R17:R35)</f>
        <v>0</v>
      </c>
      <c r="S36" s="198"/>
      <c r="T36" s="201">
        <f>SUM(T17:T35)</f>
        <v>0</v>
      </c>
      <c r="V36" s="202">
        <f>SUM(V17:V35)</f>
        <v>0</v>
      </c>
      <c r="W36" s="203"/>
    </row>
    <row r="37" spans="1:23" ht="13.5" thickBot="1">
      <c r="A37" s="142"/>
      <c r="B37" s="142"/>
      <c r="C37" s="204"/>
      <c r="D37" s="142"/>
      <c r="E37" s="205"/>
      <c r="F37" s="206"/>
      <c r="G37" s="206"/>
      <c r="H37" s="142"/>
      <c r="I37" s="207"/>
      <c r="J37" s="208"/>
      <c r="K37" s="209"/>
      <c r="L37" s="209"/>
      <c r="M37" s="209"/>
      <c r="N37" s="209"/>
      <c r="O37" s="209"/>
      <c r="P37" s="209"/>
      <c r="Q37" s="210"/>
      <c r="R37" s="206"/>
      <c r="S37" s="206"/>
      <c r="T37" s="206"/>
      <c r="V37" s="211"/>
      <c r="W37" s="203"/>
    </row>
    <row r="38" spans="1:23" ht="12.5">
      <c r="A38" s="142"/>
      <c r="B38" s="142"/>
      <c r="C38" s="212" t="s">
        <v>675</v>
      </c>
      <c r="D38" s="142"/>
      <c r="E38" s="206"/>
      <c r="F38" s="206"/>
      <c r="G38" s="206"/>
      <c r="H38" s="142"/>
      <c r="I38" s="213"/>
      <c r="J38" s="214"/>
      <c r="K38" s="142"/>
      <c r="L38" s="142"/>
      <c r="M38" s="209"/>
      <c r="N38" s="209"/>
      <c r="O38" s="209"/>
      <c r="P38" s="209"/>
      <c r="Q38" s="209"/>
      <c r="R38" s="206"/>
      <c r="S38" s="206"/>
      <c r="T38" s="206"/>
    </row>
    <row r="39" spans="1:23" ht="12.5">
      <c r="A39" s="142"/>
      <c r="B39" s="142"/>
      <c r="C39" s="212"/>
      <c r="D39" s="142"/>
      <c r="E39" s="206"/>
      <c r="F39" s="206"/>
      <c r="G39" s="206"/>
      <c r="H39" s="142"/>
      <c r="I39" s="215"/>
      <c r="J39" s="216"/>
      <c r="K39" s="142"/>
      <c r="L39" s="142"/>
      <c r="M39" s="209"/>
      <c r="N39" s="209"/>
      <c r="O39" s="209"/>
      <c r="P39" s="209"/>
      <c r="Q39" s="217"/>
      <c r="R39" s="209"/>
      <c r="S39" s="142"/>
      <c r="T39" s="142"/>
    </row>
    <row r="40" spans="1:23" ht="12.5">
      <c r="E40" s="218"/>
      <c r="F40" s="218"/>
      <c r="G40" s="218"/>
      <c r="I40" s="138"/>
      <c r="J40" s="219"/>
      <c r="M40" s="220"/>
      <c r="N40" s="220"/>
      <c r="O40" s="220"/>
      <c r="P40" s="220"/>
      <c r="Q40" s="220"/>
      <c r="R40" s="220"/>
    </row>
  </sheetData>
  <mergeCells count="2">
    <mergeCell ref="E14:G14"/>
    <mergeCell ref="I14:K14"/>
  </mergeCells>
  <pageMargins left="0.5" right="0.5" top="1" bottom="1" header="0.65" footer="0.5"/>
  <pageSetup scale="48" fitToHeight="0" orientation="landscape" horizontalDpi="1200" verticalDpi="1200" r:id="rId1"/>
  <headerFooter alignWithMargins="0">
    <oddHeader xml:space="preserve">&amp;R&amp;16AEP - SPP Transco Formula Rate
Schedule 11 Revenue Requirements
AEP Southwestern Transmission Company
Page: &amp;P of &amp;N
</oddHeader>
    <oddFooter>&amp;L&amp;A</oddFooter>
  </headerFooter>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opLeftCell="A4" zoomScale="80" zoomScaleNormal="80" zoomScaleSheetLayoutView="80" workbookViewId="0">
      <selection activeCell="G15" sqref="G15"/>
    </sheetView>
  </sheetViews>
  <sheetFormatPr defaultColWidth="9.1796875" defaultRowHeight="12.5"/>
  <cols>
    <col min="1" max="1" width="9.1796875" style="645"/>
    <col min="2" max="2" width="47.81640625" style="638" customWidth="1"/>
    <col min="3" max="3" width="38.453125" style="638" customWidth="1"/>
    <col min="4" max="4" width="18.453125" style="638" customWidth="1"/>
    <col min="5" max="5" width="14.1796875" style="638" customWidth="1"/>
    <col min="6" max="6" width="15.1796875" style="638" customWidth="1"/>
    <col min="7" max="7" width="14.26953125" style="638" customWidth="1"/>
    <col min="8" max="9" width="12.81640625" style="638" customWidth="1"/>
    <col min="10" max="16384" width="9.1796875" style="638"/>
  </cols>
  <sheetData>
    <row r="1" spans="1:12" ht="15.5">
      <c r="A1" s="637"/>
    </row>
    <row r="3" spans="1:12" s="641" customFormat="1" ht="15.5">
      <c r="A3" s="639"/>
      <c r="B3" s="2016" t="str">
        <f>+'SWT TCOS'!F4</f>
        <v xml:space="preserve">AEP West SPP Member Transmission Companies </v>
      </c>
      <c r="C3" s="2016"/>
      <c r="D3" s="2016"/>
      <c r="E3" s="2016"/>
      <c r="F3" s="2016"/>
      <c r="G3" s="2016"/>
      <c r="H3" s="2016"/>
      <c r="I3" s="2016"/>
      <c r="J3" s="640"/>
      <c r="K3" s="640"/>
      <c r="L3" s="640"/>
    </row>
    <row r="4" spans="1:12" s="641" customFormat="1" ht="15.5">
      <c r="A4" s="639"/>
      <c r="B4" s="2017" t="str">
        <f>+'SWT WS A-1 - Plant'!A3</f>
        <v xml:space="preserve">Actual / Projected 2019 Rate Year Cost of Service Formula Rate </v>
      </c>
      <c r="C4" s="2017"/>
      <c r="D4" s="2017"/>
      <c r="E4" s="2017"/>
      <c r="F4" s="2017"/>
      <c r="G4" s="2017"/>
      <c r="H4" s="2017"/>
      <c r="I4" s="2017"/>
      <c r="J4" s="642"/>
      <c r="K4" s="642"/>
      <c r="L4" s="642"/>
    </row>
    <row r="5" spans="1:12" s="641" customFormat="1" ht="15.5">
      <c r="A5" s="639"/>
      <c r="B5" s="2018" t="s">
        <v>891</v>
      </c>
      <c r="C5" s="2018"/>
      <c r="D5" s="2018"/>
      <c r="E5" s="2018"/>
      <c r="F5" s="2018"/>
      <c r="G5" s="2018"/>
      <c r="H5" s="2018"/>
      <c r="I5" s="2018"/>
      <c r="J5" s="643"/>
      <c r="K5" s="643"/>
      <c r="L5" s="643"/>
    </row>
    <row r="6" spans="1:12" s="641" customFormat="1" ht="15.5">
      <c r="A6" s="639"/>
      <c r="B6" s="2019" t="str">
        <f>+'SWT TCOS'!F8</f>
        <v>AEP SOUTHWESTERN TRANSMISSION COMPANY</v>
      </c>
      <c r="C6" s="2019"/>
      <c r="D6" s="2019"/>
      <c r="E6" s="2019"/>
      <c r="F6" s="2019"/>
      <c r="G6" s="2019"/>
      <c r="H6" s="2019"/>
      <c r="I6" s="2019"/>
      <c r="J6" s="644"/>
      <c r="K6" s="644"/>
      <c r="L6" s="644"/>
    </row>
    <row r="8" spans="1:12">
      <c r="B8" s="638" t="s">
        <v>813</v>
      </c>
    </row>
    <row r="9" spans="1:12" ht="25.5" customHeight="1">
      <c r="B9" s="2015" t="s">
        <v>814</v>
      </c>
      <c r="C9" s="2015"/>
      <c r="D9" s="2015"/>
      <c r="E9" s="2015"/>
      <c r="F9" s="2015"/>
      <c r="G9" s="2015"/>
      <c r="H9" s="2015"/>
      <c r="I9" s="2015"/>
    </row>
    <row r="11" spans="1:12" ht="13">
      <c r="B11" s="646" t="s">
        <v>300</v>
      </c>
      <c r="C11" s="647" t="s">
        <v>301</v>
      </c>
      <c r="D11" s="647"/>
      <c r="E11" s="647" t="s">
        <v>302</v>
      </c>
      <c r="F11" s="647" t="s">
        <v>303</v>
      </c>
      <c r="G11" s="647" t="s">
        <v>228</v>
      </c>
      <c r="H11" s="647" t="s">
        <v>229</v>
      </c>
      <c r="I11" s="647" t="s">
        <v>230</v>
      </c>
    </row>
    <row r="12" spans="1:12" ht="13">
      <c r="A12" s="648" t="s">
        <v>307</v>
      </c>
    </row>
    <row r="13" spans="1:12">
      <c r="A13" s="649"/>
      <c r="E13" s="2020" t="s">
        <v>809</v>
      </c>
      <c r="F13" s="2020"/>
      <c r="G13" s="2020"/>
      <c r="H13" s="2020"/>
      <c r="I13" s="2020"/>
    </row>
    <row r="14" spans="1:12" ht="14">
      <c r="A14" s="649"/>
      <c r="B14" s="650" t="s">
        <v>810</v>
      </c>
      <c r="C14" s="651" t="s">
        <v>344</v>
      </c>
      <c r="D14" s="651" t="s">
        <v>257</v>
      </c>
      <c r="E14" s="652">
        <v>1901001</v>
      </c>
      <c r="F14" s="652">
        <v>2821001</v>
      </c>
      <c r="G14" s="652">
        <v>2831001</v>
      </c>
      <c r="H14" s="652" t="s">
        <v>812</v>
      </c>
      <c r="I14" s="652" t="s">
        <v>812</v>
      </c>
    </row>
    <row r="15" spans="1:12" ht="25">
      <c r="A15" s="649">
        <v>1</v>
      </c>
      <c r="B15" s="653" t="s">
        <v>839</v>
      </c>
      <c r="C15" s="645" t="s">
        <v>815</v>
      </c>
      <c r="D15" s="645">
        <f>+SUM(E15:I15)</f>
        <v>9310.31</v>
      </c>
      <c r="E15" s="654">
        <v>0</v>
      </c>
      <c r="F15" s="654">
        <v>312.98</v>
      </c>
      <c r="G15" s="654">
        <v>8997.33</v>
      </c>
      <c r="H15" s="654"/>
      <c r="I15" s="654"/>
    </row>
    <row r="16" spans="1:12">
      <c r="A16" s="649">
        <f t="shared" ref="A16:A43" si="0">+A15+1</f>
        <v>2</v>
      </c>
      <c r="B16" s="653" t="s">
        <v>822</v>
      </c>
      <c r="C16" s="655" t="s">
        <v>890</v>
      </c>
      <c r="D16" s="656"/>
      <c r="E16" s="655">
        <v>5</v>
      </c>
      <c r="F16" s="655">
        <v>5</v>
      </c>
      <c r="G16" s="655">
        <v>5</v>
      </c>
      <c r="H16" s="655">
        <v>5</v>
      </c>
      <c r="I16" s="655">
        <v>5</v>
      </c>
    </row>
    <row r="17" spans="1:9">
      <c r="A17" s="649">
        <f t="shared" si="0"/>
        <v>3</v>
      </c>
      <c r="B17" s="657" t="s">
        <v>811</v>
      </c>
      <c r="C17" s="658" t="str">
        <f>"Line "&amp;A15&amp;" / Line "&amp;A16</f>
        <v>Line 1 / Line 2</v>
      </c>
      <c r="D17" s="658">
        <f>+SUM(E17:I17)</f>
        <v>1862.0619999999999</v>
      </c>
      <c r="E17" s="659">
        <f>+E15/E16</f>
        <v>0</v>
      </c>
      <c r="F17" s="659">
        <f>+F15/F16</f>
        <v>62.596000000000004</v>
      </c>
      <c r="G17" s="659">
        <f>+G15/G16</f>
        <v>1799.4659999999999</v>
      </c>
      <c r="H17" s="659">
        <f>+H15/H16</f>
        <v>0</v>
      </c>
      <c r="I17" s="659">
        <f>+I15/I16</f>
        <v>0</v>
      </c>
    </row>
    <row r="18" spans="1:9" ht="13.5" customHeight="1">
      <c r="A18" s="649">
        <f t="shared" si="0"/>
        <v>4</v>
      </c>
      <c r="B18" s="653" t="s">
        <v>807</v>
      </c>
      <c r="C18" s="645" t="s">
        <v>815</v>
      </c>
      <c r="D18" s="645">
        <f>+SUM(E18:I18)</f>
        <v>1862.0619999999999</v>
      </c>
      <c r="E18" s="654"/>
      <c r="F18" s="654">
        <v>62.596000000000004</v>
      </c>
      <c r="G18" s="654">
        <v>1799.4659999999999</v>
      </c>
      <c r="H18" s="654"/>
      <c r="I18" s="654"/>
    </row>
    <row r="19" spans="1:9">
      <c r="A19" s="649">
        <f t="shared" si="0"/>
        <v>5</v>
      </c>
      <c r="B19" s="657" t="s">
        <v>808</v>
      </c>
      <c r="C19" s="658" t="str">
        <f>"Line "&amp;A17&amp;" + Line "&amp;A18</f>
        <v>Line 3 + Line 4</v>
      </c>
      <c r="D19" s="658">
        <f>+SUM(E19:I19)</f>
        <v>3724.1239999999998</v>
      </c>
      <c r="E19" s="659">
        <f>+E17+E18</f>
        <v>0</v>
      </c>
      <c r="F19" s="659">
        <f>+F17+F18</f>
        <v>125.19200000000001</v>
      </c>
      <c r="G19" s="659">
        <f>+G17+G18</f>
        <v>3598.9319999999998</v>
      </c>
      <c r="H19" s="659">
        <f>+H17+H18</f>
        <v>0</v>
      </c>
      <c r="I19" s="659">
        <f>+I17+I18</f>
        <v>0</v>
      </c>
    </row>
    <row r="20" spans="1:9">
      <c r="A20" s="649"/>
      <c r="B20" s="660"/>
    </row>
    <row r="21" spans="1:9" ht="25">
      <c r="A21" s="649">
        <f>+A19+1</f>
        <v>6</v>
      </c>
      <c r="B21" s="653" t="s">
        <v>824</v>
      </c>
      <c r="C21" s="654" t="s">
        <v>826</v>
      </c>
      <c r="D21" s="645">
        <f>+SUM(E21:I21)</f>
        <v>8830.31</v>
      </c>
      <c r="E21" s="638">
        <v>0</v>
      </c>
      <c r="F21" s="638">
        <f>+'SWT WS C-2 ADIT BOY'!H14</f>
        <v>-167.02</v>
      </c>
      <c r="G21" s="638">
        <f>+'SWT WS C-2 ADIT BOY'!H26</f>
        <v>8997.33</v>
      </c>
    </row>
    <row r="22" spans="1:9" ht="25">
      <c r="A22" s="649">
        <f t="shared" si="0"/>
        <v>7</v>
      </c>
      <c r="B22" s="653" t="s">
        <v>823</v>
      </c>
      <c r="C22" s="645" t="str">
        <f>"Line "&amp;A15&amp;" - Line "&amp;A18</f>
        <v>Line 1 - Line 4</v>
      </c>
      <c r="D22" s="645">
        <f t="shared" ref="D22:D23" si="1">+SUM(E22:I22)</f>
        <v>7448.2479999999996</v>
      </c>
      <c r="E22" s="638">
        <f>+E15+E18</f>
        <v>0</v>
      </c>
      <c r="F22" s="638">
        <f>+F15-F18</f>
        <v>250.38400000000001</v>
      </c>
      <c r="G22" s="638">
        <f>+G15-G18</f>
        <v>7197.8639999999996</v>
      </c>
      <c r="H22" s="638">
        <f>+H15-H18</f>
        <v>0</v>
      </c>
      <c r="I22" s="638">
        <f>+I15-I18</f>
        <v>0</v>
      </c>
    </row>
    <row r="23" spans="1:9">
      <c r="A23" s="649">
        <f t="shared" si="0"/>
        <v>8</v>
      </c>
      <c r="B23" s="657" t="s">
        <v>825</v>
      </c>
      <c r="C23" s="658" t="str">
        <f>"Line "&amp;A21&amp;" - Line "&amp;A22</f>
        <v>Line 6 - Line 7</v>
      </c>
      <c r="D23" s="658">
        <f t="shared" si="1"/>
        <v>1382.0620000000004</v>
      </c>
      <c r="E23" s="659">
        <f>+E21-E22</f>
        <v>0</v>
      </c>
      <c r="F23" s="659">
        <f>+F21-F22</f>
        <v>-417.404</v>
      </c>
      <c r="G23" s="659">
        <f>+G21-G22</f>
        <v>1799.4660000000003</v>
      </c>
      <c r="H23" s="659">
        <f>+H21-H22</f>
        <v>0</v>
      </c>
      <c r="I23" s="659">
        <f>+I21-I22</f>
        <v>0</v>
      </c>
    </row>
    <row r="24" spans="1:9">
      <c r="A24" s="649"/>
      <c r="B24" s="653"/>
    </row>
    <row r="25" spans="1:9">
      <c r="A25" s="649">
        <f>+A23+1</f>
        <v>9</v>
      </c>
      <c r="B25" s="653" t="s">
        <v>817</v>
      </c>
      <c r="C25" s="654" t="s">
        <v>818</v>
      </c>
      <c r="D25" s="645">
        <f>+SUM(E25:I25)</f>
        <v>10958.07</v>
      </c>
      <c r="E25" s="639">
        <v>0</v>
      </c>
      <c r="F25" s="639">
        <f>+'SWT WS C-1 ADIT EOY'!H15</f>
        <v>312.98</v>
      </c>
      <c r="G25" s="639">
        <f>+'SWT WS C-1 ADIT EOY'!H26</f>
        <v>10645.09</v>
      </c>
      <c r="H25" s="639"/>
      <c r="I25" s="639"/>
    </row>
    <row r="26" spans="1:9" ht="25">
      <c r="A26" s="649">
        <f t="shared" si="0"/>
        <v>10</v>
      </c>
      <c r="B26" s="653" t="s">
        <v>821</v>
      </c>
      <c r="C26" s="645" t="str">
        <f>"Line "&amp;A15&amp;" - Line "&amp;A19</f>
        <v>Line 1 - Line 5</v>
      </c>
      <c r="D26" s="645">
        <f t="shared" ref="D26:D27" si="2">+SUM(E26:I26)</f>
        <v>5586.1859999999997</v>
      </c>
      <c r="E26" s="661">
        <f>+E15-E19</f>
        <v>0</v>
      </c>
      <c r="F26" s="661">
        <f>+F15-F19</f>
        <v>187.78800000000001</v>
      </c>
      <c r="G26" s="661">
        <f>+G15-G19</f>
        <v>5398.3980000000001</v>
      </c>
      <c r="H26" s="661">
        <f>+H15-H19</f>
        <v>0</v>
      </c>
      <c r="I26" s="661">
        <f>+I15-I19</f>
        <v>0</v>
      </c>
    </row>
    <row r="27" spans="1:9">
      <c r="A27" s="649">
        <f t="shared" si="0"/>
        <v>11</v>
      </c>
      <c r="B27" s="657" t="s">
        <v>820</v>
      </c>
      <c r="C27" s="658" t="str">
        <f>"Line "&amp;A25&amp;" - Line "&amp;A26</f>
        <v>Line 9 - Line 10</v>
      </c>
      <c r="D27" s="658">
        <f t="shared" si="2"/>
        <v>5371.884</v>
      </c>
      <c r="E27" s="659">
        <f>+E25-E26</f>
        <v>0</v>
      </c>
      <c r="F27" s="659">
        <f>+F25-F26</f>
        <v>125.19200000000001</v>
      </c>
      <c r="G27" s="659">
        <f t="shared" ref="G27:I27" si="3">+G25-G26</f>
        <v>5246.692</v>
      </c>
      <c r="H27" s="659">
        <f t="shared" si="3"/>
        <v>0</v>
      </c>
      <c r="I27" s="659">
        <f t="shared" si="3"/>
        <v>0</v>
      </c>
    </row>
    <row r="28" spans="1:9">
      <c r="A28" s="649"/>
    </row>
    <row r="29" spans="1:9">
      <c r="A29" s="649"/>
    </row>
    <row r="30" spans="1:9">
      <c r="A30" s="649"/>
      <c r="E30" s="2014" t="s">
        <v>809</v>
      </c>
      <c r="F30" s="2014"/>
      <c r="G30" s="2014"/>
    </row>
    <row r="31" spans="1:9" ht="14">
      <c r="A31" s="649"/>
      <c r="B31" s="650" t="s">
        <v>816</v>
      </c>
      <c r="C31" s="651" t="s">
        <v>344</v>
      </c>
      <c r="D31" s="651" t="s">
        <v>257</v>
      </c>
      <c r="E31" s="662">
        <v>2821001</v>
      </c>
      <c r="F31" s="662" t="s">
        <v>812</v>
      </c>
      <c r="G31" s="662" t="s">
        <v>812</v>
      </c>
      <c r="H31" s="663"/>
      <c r="I31" s="663"/>
    </row>
    <row r="32" spans="1:9" ht="25">
      <c r="A32" s="649">
        <f>+A27+1</f>
        <v>12</v>
      </c>
      <c r="B32" s="653" t="s">
        <v>839</v>
      </c>
      <c r="C32" s="645" t="s">
        <v>815</v>
      </c>
      <c r="D32" s="645">
        <f t="shared" ref="D32:D43" si="4">+SUM(E32:I32)</f>
        <v>-183</v>
      </c>
      <c r="E32" s="654">
        <v>-183</v>
      </c>
      <c r="F32" s="654"/>
      <c r="G32" s="654"/>
      <c r="H32" s="663"/>
      <c r="I32" s="663"/>
    </row>
    <row r="33" spans="1:10">
      <c r="A33" s="649">
        <f>+A32+1</f>
        <v>13</v>
      </c>
      <c r="B33" s="653" t="s">
        <v>811</v>
      </c>
      <c r="C33" s="645" t="s">
        <v>815</v>
      </c>
      <c r="D33" s="645">
        <f t="shared" si="4"/>
        <v>0</v>
      </c>
      <c r="E33" s="654"/>
      <c r="F33" s="654"/>
      <c r="G33" s="654"/>
      <c r="H33" s="663"/>
      <c r="I33" s="663"/>
    </row>
    <row r="34" spans="1:10" ht="13.5" customHeight="1">
      <c r="A34" s="649">
        <f t="shared" si="0"/>
        <v>14</v>
      </c>
      <c r="B34" s="653" t="s">
        <v>831</v>
      </c>
      <c r="C34" s="645" t="s">
        <v>815</v>
      </c>
      <c r="D34" s="645">
        <f t="shared" si="4"/>
        <v>0</v>
      </c>
      <c r="E34" s="654"/>
      <c r="F34" s="654"/>
      <c r="G34" s="654"/>
      <c r="H34" s="663"/>
      <c r="I34" s="663"/>
    </row>
    <row r="35" spans="1:10">
      <c r="A35" s="649">
        <f t="shared" si="0"/>
        <v>15</v>
      </c>
      <c r="B35" s="657" t="s">
        <v>832</v>
      </c>
      <c r="C35" s="658" t="str">
        <f>"Line "&amp;A33&amp;" + Line "&amp;A34</f>
        <v>Line 13 + Line 14</v>
      </c>
      <c r="D35" s="658">
        <f t="shared" si="4"/>
        <v>0</v>
      </c>
      <c r="E35" s="659">
        <f>+E33+E34</f>
        <v>0</v>
      </c>
      <c r="F35" s="659">
        <f>+F33+F34</f>
        <v>0</v>
      </c>
      <c r="G35" s="659"/>
      <c r="H35" s="663"/>
      <c r="I35" s="663"/>
    </row>
    <row r="36" spans="1:10">
      <c r="A36" s="649"/>
      <c r="B36" s="660"/>
      <c r="H36" s="663"/>
      <c r="I36" s="663"/>
    </row>
    <row r="37" spans="1:10">
      <c r="A37" s="649">
        <f>+A35+1</f>
        <v>16</v>
      </c>
      <c r="B37" s="653" t="s">
        <v>829</v>
      </c>
      <c r="C37" s="654" t="s">
        <v>828</v>
      </c>
      <c r="D37" s="639">
        <f t="shared" si="4"/>
        <v>297.22000000000003</v>
      </c>
      <c r="E37" s="661">
        <f>+'SWT WS C-2 ADIT BOY'!H13</f>
        <v>297.22000000000003</v>
      </c>
      <c r="F37" s="661"/>
      <c r="G37" s="661"/>
      <c r="H37" s="663"/>
      <c r="I37" s="663"/>
      <c r="J37" s="663"/>
    </row>
    <row r="38" spans="1:10" ht="25">
      <c r="A38" s="649">
        <f t="shared" si="0"/>
        <v>17</v>
      </c>
      <c r="B38" s="653" t="s">
        <v>821</v>
      </c>
      <c r="C38" s="645" t="str">
        <f>"Line "&amp;A32&amp;" - Line "&amp;A34</f>
        <v>Line 12 - Line 14</v>
      </c>
      <c r="D38" s="664">
        <f t="shared" si="4"/>
        <v>-183</v>
      </c>
      <c r="E38" s="661">
        <f>+E32-E34</f>
        <v>-183</v>
      </c>
      <c r="F38" s="661">
        <f>+F32-F34</f>
        <v>0</v>
      </c>
      <c r="G38" s="661">
        <f>+G32-G34</f>
        <v>0</v>
      </c>
      <c r="H38" s="663"/>
      <c r="I38" s="663"/>
      <c r="J38" s="663"/>
    </row>
    <row r="39" spans="1:10">
      <c r="A39" s="649">
        <f t="shared" si="0"/>
        <v>18</v>
      </c>
      <c r="B39" s="657" t="s">
        <v>825</v>
      </c>
      <c r="C39" s="658" t="str">
        <f>"Line "&amp;A37&amp;" - Line "&amp;A38</f>
        <v>Line 16 - Line 17</v>
      </c>
      <c r="D39" s="665">
        <f t="shared" si="4"/>
        <v>480.22</v>
      </c>
      <c r="E39" s="659">
        <f>+E37-E38</f>
        <v>480.22</v>
      </c>
      <c r="F39" s="659">
        <f>+F37-F38</f>
        <v>0</v>
      </c>
      <c r="G39" s="659">
        <f>+G37-G38</f>
        <v>0</v>
      </c>
      <c r="H39" s="663"/>
      <c r="I39" s="663"/>
      <c r="J39" s="663"/>
    </row>
    <row r="40" spans="1:10">
      <c r="A40" s="649"/>
      <c r="H40" s="663"/>
      <c r="I40" s="663"/>
      <c r="J40" s="663"/>
    </row>
    <row r="41" spans="1:10" ht="25">
      <c r="A41" s="649">
        <f>+A39+1</f>
        <v>19</v>
      </c>
      <c r="B41" s="653" t="s">
        <v>830</v>
      </c>
      <c r="C41" s="654" t="s">
        <v>819</v>
      </c>
      <c r="D41" s="639">
        <f t="shared" si="4"/>
        <v>-182.78</v>
      </c>
      <c r="E41" s="639">
        <f>+'SWT WS C-1 ADIT EOY'!H14</f>
        <v>-182.78</v>
      </c>
      <c r="F41" s="639"/>
      <c r="G41" s="639"/>
      <c r="H41" s="663"/>
      <c r="I41" s="663"/>
      <c r="J41" s="663"/>
    </row>
    <row r="42" spans="1:10" ht="25">
      <c r="A42" s="649">
        <f t="shared" si="0"/>
        <v>20</v>
      </c>
      <c r="B42" s="653" t="s">
        <v>821</v>
      </c>
      <c r="C42" s="645" t="str">
        <f>"Line "&amp;A32&amp;" - Line "&amp;A35</f>
        <v>Line 12 - Line 15</v>
      </c>
      <c r="D42" s="664">
        <f t="shared" si="4"/>
        <v>-183</v>
      </c>
      <c r="E42" s="639">
        <f>+E32-E35</f>
        <v>-183</v>
      </c>
      <c r="F42" s="639">
        <f>+F32-F35</f>
        <v>0</v>
      </c>
      <c r="G42" s="639">
        <f>+G32-G35</f>
        <v>0</v>
      </c>
      <c r="H42" s="663"/>
      <c r="I42" s="663"/>
      <c r="J42" s="663"/>
    </row>
    <row r="43" spans="1:10">
      <c r="A43" s="649">
        <f t="shared" si="0"/>
        <v>21</v>
      </c>
      <c r="B43" s="657" t="s">
        <v>820</v>
      </c>
      <c r="C43" s="658" t="str">
        <f>"Line "&amp;A41&amp;" - Line "&amp;A42</f>
        <v>Line 19 - Line 20</v>
      </c>
      <c r="D43" s="665">
        <f t="shared" si="4"/>
        <v>0.21999999999999886</v>
      </c>
      <c r="E43" s="659">
        <f>+E41-E42</f>
        <v>0.21999999999999886</v>
      </c>
      <c r="F43" s="659">
        <f>+F41-F42</f>
        <v>0</v>
      </c>
      <c r="G43" s="659">
        <f>+G41-G42</f>
        <v>0</v>
      </c>
      <c r="H43" s="663"/>
      <c r="I43" s="663"/>
    </row>
    <row r="44" spans="1:10">
      <c r="A44" s="649"/>
      <c r="G44" s="663"/>
      <c r="H44" s="663"/>
      <c r="I44" s="663"/>
    </row>
    <row r="45" spans="1:10">
      <c r="A45" s="649"/>
    </row>
    <row r="46" spans="1:10" ht="14">
      <c r="A46" s="649"/>
      <c r="B46" s="650" t="s">
        <v>836</v>
      </c>
      <c r="D46" s="666" t="s">
        <v>806</v>
      </c>
    </row>
    <row r="47" spans="1:10">
      <c r="A47" s="649">
        <f>+A43+1</f>
        <v>22</v>
      </c>
      <c r="B47" s="638" t="s">
        <v>833</v>
      </c>
      <c r="C47" s="645" t="str">
        <f>"Line "&amp;A17</f>
        <v>Line 3</v>
      </c>
      <c r="D47" s="638">
        <f>+D17</f>
        <v>1862.0619999999999</v>
      </c>
    </row>
    <row r="48" spans="1:10">
      <c r="A48" s="649">
        <f>+A47+1</f>
        <v>23</v>
      </c>
      <c r="B48" s="638" t="s">
        <v>834</v>
      </c>
      <c r="C48" s="645" t="str">
        <f>"Line "&amp;A33</f>
        <v>Line 13</v>
      </c>
      <c r="D48" s="638">
        <f>+D33</f>
        <v>0</v>
      </c>
    </row>
    <row r="49" spans="1:4">
      <c r="A49" s="649">
        <f>+A48+1</f>
        <v>24</v>
      </c>
      <c r="B49" s="659" t="s">
        <v>835</v>
      </c>
      <c r="C49" s="658" t="str">
        <f>"Line "&amp;A47&amp;" + Line "&amp;A48</f>
        <v>Line 22 + Line 23</v>
      </c>
      <c r="D49" s="659">
        <f>+D47+D48</f>
        <v>1862.0619999999999</v>
      </c>
    </row>
  </sheetData>
  <mergeCells count="7">
    <mergeCell ref="E30:G30"/>
    <mergeCell ref="B3:I3"/>
    <mergeCell ref="B4:I4"/>
    <mergeCell ref="B5:I5"/>
    <mergeCell ref="B6:I6"/>
    <mergeCell ref="B9:I9"/>
    <mergeCell ref="E13:I13"/>
  </mergeCells>
  <pageMargins left="0.45" right="0.2" top="0.75" bottom="0.75" header="0.3" footer="0.3"/>
  <pageSetup scale="50" fitToHeight="0" orientation="portrait" r:id="rId1"/>
  <headerFooter>
    <oddHeader>&amp;RAEP - SPP Transco Formula Rate
TCOS - WS C-4
Page: &amp;P of &amp;N</oddHeader>
  </headerFooter>
  <colBreaks count="1" manualBreakCount="1">
    <brk id="9"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topLeftCell="J1" zoomScale="81" zoomScaleNormal="81" zoomScaleSheetLayoutView="80" zoomScalePageLayoutView="70" workbookViewId="0">
      <selection activeCell="C11" sqref="C11"/>
    </sheetView>
  </sheetViews>
  <sheetFormatPr defaultColWidth="11.453125" defaultRowHeight="12.5"/>
  <cols>
    <col min="1" max="1" width="12.54296875" style="1597" customWidth="1"/>
    <col min="2" max="2" width="15.453125" style="1555" customWidth="1"/>
    <col min="3" max="3" width="42.26953125" style="1555" customWidth="1"/>
    <col min="4" max="4" width="22.1796875" style="1555" customWidth="1"/>
    <col min="5" max="5" width="21" style="1555" customWidth="1"/>
    <col min="6" max="6" width="1" style="1555" customWidth="1"/>
    <col min="7" max="7" width="24" style="1555" customWidth="1"/>
    <col min="8" max="8" width="1" style="1555" customWidth="1"/>
    <col min="9" max="9" width="19.1796875" style="1555" customWidth="1"/>
    <col min="10" max="10" width="16.7265625" style="1555" customWidth="1"/>
    <col min="11" max="11" width="49.81640625" style="1555" customWidth="1"/>
    <col min="12" max="13" width="13.453125" style="1555" customWidth="1"/>
    <col min="14" max="14" width="31" style="1555" customWidth="1"/>
    <col min="15" max="15" width="29.26953125" style="1555" customWidth="1"/>
    <col min="16" max="16" width="19.54296875" style="1555" customWidth="1"/>
    <col min="17" max="29" width="14.26953125" style="1555" customWidth="1"/>
    <col min="30" max="16384" width="11.453125" style="1555"/>
  </cols>
  <sheetData>
    <row r="1" spans="1:29" ht="15.5">
      <c r="A1" s="1554"/>
      <c r="K1" s="1556"/>
      <c r="M1" s="1554"/>
      <c r="AC1" s="1556"/>
    </row>
    <row r="2" spans="1:29" ht="15.5">
      <c r="A2" s="2086" t="str">
        <f>+'SWT TCOS'!F4</f>
        <v xml:space="preserve">AEP West SPP Member Transmission Companies </v>
      </c>
      <c r="B2" s="2086"/>
      <c r="C2" s="2086"/>
      <c r="D2" s="2086"/>
      <c r="E2" s="2086"/>
      <c r="F2" s="2086"/>
      <c r="G2" s="2086"/>
      <c r="H2" s="2086"/>
      <c r="I2" s="2086"/>
      <c r="J2" s="2086"/>
      <c r="K2" s="2086"/>
      <c r="L2" s="670"/>
      <c r="M2" s="2086" t="str">
        <f>+A2</f>
        <v xml:space="preserve">AEP West SPP Member Transmission Companies </v>
      </c>
      <c r="N2" s="2086"/>
      <c r="O2" s="2086"/>
      <c r="P2" s="2086"/>
      <c r="Q2" s="2086"/>
      <c r="R2" s="2086"/>
      <c r="S2" s="2086"/>
      <c r="T2" s="2086"/>
      <c r="U2" s="2086"/>
      <c r="V2" s="2086"/>
      <c r="W2" s="2086"/>
      <c r="X2" s="2086"/>
      <c r="Y2" s="2086"/>
    </row>
    <row r="3" spans="1:29" ht="15.5">
      <c r="A3" s="2086" t="str">
        <f>+'SWT WS A-1 - Plant'!A3</f>
        <v xml:space="preserve">Actual / Projected 2019 Rate Year Cost of Service Formula Rate </v>
      </c>
      <c r="B3" s="2086"/>
      <c r="C3" s="2086"/>
      <c r="D3" s="2086"/>
      <c r="E3" s="2086"/>
      <c r="F3" s="2086"/>
      <c r="G3" s="2086"/>
      <c r="H3" s="2086"/>
      <c r="I3" s="2086"/>
      <c r="J3" s="2086"/>
      <c r="K3" s="2086"/>
      <c r="L3" s="671"/>
      <c r="M3" s="2086" t="str">
        <f>+A3</f>
        <v xml:space="preserve">Actual / Projected 2019 Rate Year Cost of Service Formula Rate </v>
      </c>
      <c r="N3" s="2086"/>
      <c r="O3" s="2086"/>
      <c r="P3" s="2086"/>
      <c r="Q3" s="2086"/>
      <c r="R3" s="2086"/>
      <c r="S3" s="2086"/>
      <c r="T3" s="2086"/>
      <c r="U3" s="2086"/>
      <c r="V3" s="2086"/>
      <c r="W3" s="2086"/>
      <c r="X3" s="2086"/>
      <c r="Y3" s="2086"/>
    </row>
    <row r="4" spans="1:29" ht="15.5">
      <c r="A4" s="2087" t="s">
        <v>894</v>
      </c>
      <c r="B4" s="2086"/>
      <c r="C4" s="2086"/>
      <c r="D4" s="2086"/>
      <c r="E4" s="2086"/>
      <c r="F4" s="2086"/>
      <c r="G4" s="2086"/>
      <c r="H4" s="2086"/>
      <c r="I4" s="2086"/>
      <c r="J4" s="2086"/>
      <c r="K4" s="2086"/>
      <c r="L4" s="1557"/>
      <c r="M4" s="2086" t="str">
        <f>+A4</f>
        <v>Worksheet D - Materials and Supplies and Prepayments</v>
      </c>
      <c r="N4" s="2086"/>
      <c r="O4" s="2086"/>
      <c r="P4" s="2086"/>
      <c r="Q4" s="2086"/>
      <c r="R4" s="2086"/>
      <c r="S4" s="2086"/>
      <c r="T4" s="2086"/>
      <c r="U4" s="2086"/>
      <c r="V4" s="2086"/>
      <c r="W4" s="2086"/>
      <c r="X4" s="2086"/>
      <c r="Y4" s="2086"/>
    </row>
    <row r="5" spans="1:29" ht="15.5">
      <c r="A5" s="2025" t="str">
        <f>+'SWT TCOS'!F8</f>
        <v>AEP SOUTHWESTERN TRANSMISSION COMPANY</v>
      </c>
      <c r="B5" s="2025"/>
      <c r="C5" s="2025"/>
      <c r="D5" s="2025"/>
      <c r="E5" s="2025"/>
      <c r="F5" s="2025"/>
      <c r="G5" s="2025"/>
      <c r="H5" s="2025"/>
      <c r="I5" s="2025"/>
      <c r="J5" s="2025"/>
      <c r="K5" s="2025"/>
      <c r="L5" s="111"/>
      <c r="M5" s="2087" t="str">
        <f>+A5</f>
        <v>AEP SOUTHWESTERN TRANSMISSION COMPANY</v>
      </c>
      <c r="N5" s="2087"/>
      <c r="O5" s="2087"/>
      <c r="P5" s="2087"/>
      <c r="Q5" s="2087"/>
      <c r="R5" s="2087"/>
      <c r="S5" s="2087"/>
      <c r="T5" s="2087"/>
      <c r="U5" s="2087"/>
      <c r="V5" s="2087"/>
      <c r="W5" s="2087"/>
      <c r="X5" s="2087"/>
      <c r="Y5" s="2087"/>
    </row>
    <row r="6" spans="1:29" ht="15.5">
      <c r="A6" s="111"/>
      <c r="B6" s="111"/>
      <c r="C6" s="111"/>
      <c r="D6" s="111"/>
      <c r="E6" s="111"/>
      <c r="F6" s="111"/>
      <c r="G6" s="111"/>
      <c r="H6" s="326"/>
      <c r="I6" s="1558"/>
      <c r="J6" s="1558"/>
      <c r="K6" s="1558"/>
      <c r="L6" s="1558"/>
      <c r="M6" s="111"/>
      <c r="N6" s="111"/>
      <c r="O6" s="111"/>
      <c r="P6" s="111"/>
      <c r="Q6" s="111"/>
      <c r="R6" s="111"/>
      <c r="S6" s="111"/>
      <c r="T6" s="111"/>
      <c r="U6" s="326"/>
      <c r="V6" s="1558"/>
      <c r="W6" s="1558"/>
      <c r="X6" s="1558"/>
      <c r="Y6" s="1558"/>
    </row>
    <row r="7" spans="1:29" ht="12.75" customHeight="1">
      <c r="A7" s="1559"/>
      <c r="B7" s="1559" t="s">
        <v>300</v>
      </c>
      <c r="C7" s="1559" t="s">
        <v>301</v>
      </c>
      <c r="D7" s="1559" t="s">
        <v>204</v>
      </c>
      <c r="E7" s="1559" t="s">
        <v>303</v>
      </c>
      <c r="F7" s="1559"/>
      <c r="G7" s="1559" t="s">
        <v>228</v>
      </c>
      <c r="H7" s="1559"/>
      <c r="I7" s="1559" t="s">
        <v>229</v>
      </c>
      <c r="J7" s="1559" t="s">
        <v>230</v>
      </c>
      <c r="K7" s="1559" t="s">
        <v>235</v>
      </c>
      <c r="L7" s="1559"/>
      <c r="M7" s="1559" t="s">
        <v>300</v>
      </c>
      <c r="N7" s="1559" t="s">
        <v>301</v>
      </c>
      <c r="O7" s="1559" t="s">
        <v>204</v>
      </c>
      <c r="P7" s="1559" t="s">
        <v>303</v>
      </c>
      <c r="Q7" s="1559" t="s">
        <v>228</v>
      </c>
      <c r="R7" s="1559" t="s">
        <v>229</v>
      </c>
      <c r="S7" s="1559" t="s">
        <v>230</v>
      </c>
      <c r="T7" s="1559" t="s">
        <v>235</v>
      </c>
      <c r="U7" s="1559" t="s">
        <v>176</v>
      </c>
      <c r="V7" s="1559" t="s">
        <v>73</v>
      </c>
      <c r="W7" s="1559" t="s">
        <v>842</v>
      </c>
      <c r="X7" s="1559" t="s">
        <v>553</v>
      </c>
      <c r="Y7" s="1559" t="s">
        <v>554</v>
      </c>
      <c r="Z7" s="1559" t="s">
        <v>843</v>
      </c>
      <c r="AA7" s="1559" t="s">
        <v>555</v>
      </c>
      <c r="AB7" s="1559" t="s">
        <v>845</v>
      </c>
      <c r="AC7" s="1559" t="s">
        <v>848</v>
      </c>
    </row>
    <row r="8" spans="1:29" ht="13">
      <c r="A8" s="1560"/>
      <c r="M8" s="1560"/>
    </row>
    <row r="9" spans="1:29" ht="18">
      <c r="A9" s="1560"/>
      <c r="B9" s="2097" t="s">
        <v>345</v>
      </c>
      <c r="C9" s="2097"/>
      <c r="D9" s="2097"/>
      <c r="E9" s="2097"/>
      <c r="F9" s="2097"/>
      <c r="G9" s="2097"/>
      <c r="H9" s="2097"/>
      <c r="I9" s="2097"/>
      <c r="J9" s="2097"/>
      <c r="K9" s="2097"/>
      <c r="M9" s="2097" t="s">
        <v>345</v>
      </c>
      <c r="N9" s="2097"/>
      <c r="O9" s="2097"/>
      <c r="P9" s="2097"/>
      <c r="Q9" s="2097"/>
      <c r="R9" s="2097"/>
      <c r="S9" s="2097"/>
      <c r="T9" s="2097"/>
      <c r="U9" s="2097"/>
      <c r="V9" s="2097"/>
      <c r="W9" s="2097"/>
      <c r="X9" s="2097"/>
      <c r="Y9" s="2097"/>
      <c r="Z9" s="2097"/>
      <c r="AA9" s="2097"/>
      <c r="AB9" s="2097"/>
      <c r="AC9" s="2097"/>
    </row>
    <row r="10" spans="1:29" ht="13">
      <c r="A10" s="1560"/>
      <c r="I10" s="272"/>
      <c r="J10" s="272"/>
    </row>
    <row r="11" spans="1:29" ht="30" customHeight="1">
      <c r="A11" s="514"/>
      <c r="B11" s="1561"/>
      <c r="C11" s="1562"/>
      <c r="D11" s="679"/>
      <c r="E11" s="132"/>
      <c r="F11" s="132"/>
      <c r="G11" s="2021" t="str">
        <f>"13 Month Average Balance for Rate Year "</f>
        <v xml:space="preserve">13 Month Average Balance for Rate Year </v>
      </c>
      <c r="H11" s="1563"/>
      <c r="J11" s="272"/>
      <c r="K11" s="1564"/>
      <c r="L11" s="514"/>
      <c r="M11" s="1565"/>
      <c r="N11" s="1565"/>
      <c r="O11" s="1565"/>
      <c r="P11" s="1565"/>
      <c r="Q11" s="2098" t="s">
        <v>841</v>
      </c>
      <c r="R11" s="2098"/>
      <c r="S11" s="2098"/>
      <c r="T11" s="2098"/>
      <c r="U11" s="2098"/>
      <c r="V11" s="2098"/>
      <c r="W11" s="2098"/>
      <c r="X11" s="2098"/>
      <c r="Y11" s="2098"/>
      <c r="Z11" s="2098"/>
      <c r="AA11" s="2098"/>
      <c r="AB11" s="2098"/>
      <c r="AC11" s="2098"/>
    </row>
    <row r="12" spans="1:29" ht="25.5">
      <c r="A12" s="683" t="s">
        <v>844</v>
      </c>
      <c r="B12" s="1566"/>
      <c r="C12" s="1561"/>
      <c r="D12" s="1567" t="s">
        <v>344</v>
      </c>
      <c r="E12" s="132"/>
      <c r="F12" s="132"/>
      <c r="G12" s="2022"/>
      <c r="H12" s="1568"/>
      <c r="J12" s="272"/>
      <c r="K12" s="1569"/>
      <c r="L12" s="514" t="s">
        <v>844</v>
      </c>
      <c r="M12" s="514" t="s">
        <v>305</v>
      </c>
      <c r="N12" s="1565"/>
      <c r="O12" s="1570" t="s">
        <v>849</v>
      </c>
      <c r="P12" s="1953" t="s">
        <v>1074</v>
      </c>
      <c r="Q12" s="1571" t="str">
        <f>"December "&amp;'SWT TCOS'!$N$2-1</f>
        <v>December 2018</v>
      </c>
      <c r="R12" s="1571" t="str">
        <f>"January "&amp;'SWT TCOS'!$N$2</f>
        <v>January 2019</v>
      </c>
      <c r="S12" s="1571" t="str">
        <f>"February "&amp;'SWT TCOS'!$N$2</f>
        <v>February 2019</v>
      </c>
      <c r="T12" s="1571" t="str">
        <f>"March "&amp;'SWT TCOS'!$N$2</f>
        <v>March 2019</v>
      </c>
      <c r="U12" s="1571" t="str">
        <f>"April "&amp;'SWT TCOS'!$N$2</f>
        <v>April 2019</v>
      </c>
      <c r="V12" s="1571" t="str">
        <f>"May "&amp;'SWT TCOS'!$N$2</f>
        <v>May 2019</v>
      </c>
      <c r="W12" s="1571" t="str">
        <f>"June "&amp;'SWT TCOS'!$N$2</f>
        <v>June 2019</v>
      </c>
      <c r="X12" s="1571" t="str">
        <f>"July "&amp;'SWT TCOS'!$N$2</f>
        <v>July 2019</v>
      </c>
      <c r="Y12" s="1571" t="str">
        <f>"August "&amp;'SWT TCOS'!$N$2</f>
        <v>August 2019</v>
      </c>
      <c r="Z12" s="1571" t="str">
        <f>"September "&amp;'SWT TCOS'!$N$2</f>
        <v>September 2019</v>
      </c>
      <c r="AA12" s="1571" t="str">
        <f>"October "&amp;'SWT TCOS'!$N$2</f>
        <v>October 2019</v>
      </c>
      <c r="AB12" s="1571" t="str">
        <f>"November "&amp;'SWT TCOS'!$N$2</f>
        <v>November 2019</v>
      </c>
      <c r="AC12" s="1571" t="str">
        <f>"December "&amp;'SWT TCOS'!$N$2</f>
        <v>December 2019</v>
      </c>
    </row>
    <row r="13" spans="1:29" ht="13">
      <c r="A13" s="1566"/>
      <c r="B13" s="1566"/>
      <c r="C13" s="1561"/>
      <c r="D13" s="1558"/>
      <c r="E13" s="132"/>
      <c r="F13" s="132"/>
      <c r="H13" s="1572"/>
      <c r="J13" s="272"/>
      <c r="K13" s="1569"/>
      <c r="L13" s="1565"/>
      <c r="M13" s="1565"/>
      <c r="N13" s="1565"/>
      <c r="O13" s="1565"/>
      <c r="P13" s="1565"/>
      <c r="Q13" s="1565"/>
    </row>
    <row r="14" spans="1:29">
      <c r="A14" s="1566"/>
      <c r="B14" s="1566"/>
      <c r="D14" s="696"/>
      <c r="E14" s="132"/>
      <c r="F14" s="132"/>
      <c r="G14" s="1479"/>
      <c r="H14" s="1479"/>
      <c r="K14" s="1479"/>
      <c r="L14" s="1565"/>
      <c r="M14" s="1565"/>
      <c r="N14" s="1565"/>
      <c r="O14" s="1565"/>
      <c r="P14" s="1565"/>
      <c r="Q14" s="1565"/>
    </row>
    <row r="15" spans="1:29">
      <c r="A15" s="1566"/>
      <c r="B15" s="1566"/>
      <c r="C15" s="696"/>
      <c r="D15" s="696"/>
      <c r="E15" s="132"/>
      <c r="F15" s="132"/>
      <c r="G15" s="1479"/>
      <c r="H15" s="1479"/>
      <c r="K15" s="1479"/>
      <c r="L15" s="1565"/>
      <c r="M15" s="1565"/>
      <c r="N15" s="1565"/>
      <c r="O15" s="1565"/>
      <c r="P15" s="1573"/>
      <c r="Q15" s="1565"/>
    </row>
    <row r="16" spans="1:29">
      <c r="A16" s="1566">
        <v>1</v>
      </c>
      <c r="B16" s="1566"/>
      <c r="C16" s="696" t="s">
        <v>194</v>
      </c>
      <c r="D16" s="1574" t="s">
        <v>896</v>
      </c>
      <c r="E16" s="132"/>
      <c r="F16" s="132"/>
      <c r="G16" s="1575">
        <f>+P16</f>
        <v>0</v>
      </c>
      <c r="H16" s="1479"/>
      <c r="K16" s="1479"/>
      <c r="L16" s="1565">
        <v>1</v>
      </c>
      <c r="M16" s="696" t="s">
        <v>194</v>
      </c>
      <c r="O16" s="1574" t="s">
        <v>132</v>
      </c>
      <c r="P16" s="1940">
        <f>+SUM(Q16:AC16)/13</f>
        <v>0</v>
      </c>
      <c r="Q16" s="1951"/>
      <c r="R16" s="1951"/>
      <c r="S16" s="1951"/>
      <c r="T16" s="1951"/>
      <c r="U16" s="1951"/>
      <c r="V16" s="1951"/>
      <c r="W16" s="1951"/>
      <c r="X16" s="1951"/>
      <c r="Y16" s="1951"/>
      <c r="Z16" s="1951"/>
      <c r="AA16" s="1951"/>
      <c r="AB16" s="1951"/>
      <c r="AC16" s="1951"/>
    </row>
    <row r="17" spans="1:31">
      <c r="A17" s="1566">
        <f>+A16+1</f>
        <v>2</v>
      </c>
      <c r="B17" s="1566"/>
      <c r="C17" s="696" t="s">
        <v>195</v>
      </c>
      <c r="D17" s="1574" t="s">
        <v>898</v>
      </c>
      <c r="E17" s="132"/>
      <c r="F17" s="132"/>
      <c r="G17" s="1575">
        <f t="shared" ref="G17:G18" si="0">+P17</f>
        <v>0</v>
      </c>
      <c r="H17" s="1572"/>
      <c r="J17" s="272"/>
      <c r="K17" s="1569"/>
      <c r="L17" s="1566">
        <f>+L16+1</f>
        <v>2</v>
      </c>
      <c r="M17" s="696" t="s">
        <v>195</v>
      </c>
      <c r="O17" s="1574" t="s">
        <v>133</v>
      </c>
      <c r="P17" s="1940">
        <f>+SUM(Q17:AC17)/13</f>
        <v>0</v>
      </c>
      <c r="Q17" s="1952"/>
      <c r="R17" s="1952"/>
      <c r="S17" s="1952"/>
      <c r="T17" s="1952"/>
      <c r="U17" s="1952"/>
      <c r="V17" s="1952"/>
      <c r="W17" s="1952"/>
      <c r="X17" s="1952"/>
      <c r="Y17" s="1952"/>
      <c r="Z17" s="1952"/>
      <c r="AA17" s="1952"/>
      <c r="AB17" s="1952"/>
      <c r="AC17" s="1952"/>
    </row>
    <row r="18" spans="1:31">
      <c r="A18" s="1566">
        <f>+A17+1</f>
        <v>3</v>
      </c>
      <c r="B18" s="1566"/>
      <c r="C18" s="696" t="s">
        <v>895</v>
      </c>
      <c r="D18" s="1574" t="s">
        <v>897</v>
      </c>
      <c r="E18" s="132"/>
      <c r="F18" s="132"/>
      <c r="G18" s="1575">
        <f t="shared" si="0"/>
        <v>0</v>
      </c>
      <c r="H18" s="1572"/>
      <c r="J18" s="272"/>
      <c r="K18" s="1569"/>
      <c r="L18" s="1566">
        <f>+L17+1</f>
        <v>3</v>
      </c>
      <c r="M18" s="696" t="s">
        <v>895</v>
      </c>
      <c r="O18" s="1574" t="s">
        <v>134</v>
      </c>
      <c r="P18" s="1940">
        <f>+SUM(Q18:AC18)/13</f>
        <v>0</v>
      </c>
      <c r="Q18" s="1952"/>
      <c r="R18" s="1952"/>
      <c r="S18" s="1952"/>
      <c r="T18" s="1952"/>
      <c r="U18" s="1952"/>
      <c r="V18" s="1952"/>
      <c r="W18" s="1952"/>
      <c r="X18" s="1952"/>
      <c r="Y18" s="1952"/>
      <c r="Z18" s="1952"/>
      <c r="AA18" s="1952"/>
      <c r="AB18" s="1952"/>
      <c r="AC18" s="1952"/>
    </row>
    <row r="19" spans="1:31">
      <c r="A19" s="1555"/>
      <c r="G19" s="1575"/>
      <c r="K19" s="1569"/>
      <c r="M19" s="1565"/>
      <c r="N19" s="1565"/>
      <c r="O19" s="1565"/>
      <c r="P19" s="1573"/>
      <c r="Q19" s="1565"/>
    </row>
    <row r="20" spans="1:31" ht="18">
      <c r="A20" s="1566"/>
      <c r="B20" s="2024" t="s">
        <v>840</v>
      </c>
      <c r="C20" s="2024"/>
      <c r="D20" s="2024"/>
      <c r="E20" s="2024"/>
      <c r="F20" s="2024"/>
      <c r="G20" s="2024"/>
      <c r="H20" s="2024"/>
      <c r="I20" s="2024"/>
      <c r="J20" s="2024"/>
      <c r="K20" s="2024"/>
      <c r="L20" s="1566"/>
      <c r="M20" s="1565"/>
      <c r="N20" s="1565"/>
      <c r="O20" s="1565"/>
      <c r="P20" s="1565"/>
      <c r="Q20" s="1565"/>
    </row>
    <row r="21" spans="1:31" ht="25.5" customHeight="1">
      <c r="A21" s="1566"/>
      <c r="B21" s="510"/>
      <c r="C21" s="1479"/>
      <c r="D21" s="1479"/>
      <c r="E21" s="512"/>
      <c r="G21" s="512" t="s">
        <v>231</v>
      </c>
      <c r="I21" s="510"/>
      <c r="J21" s="510"/>
      <c r="K21" s="279"/>
      <c r="L21" s="1566"/>
      <c r="M21" s="2024" t="s">
        <v>840</v>
      </c>
      <c r="N21" s="2024"/>
      <c r="O21" s="2024"/>
      <c r="P21" s="2024"/>
      <c r="Q21" s="2024"/>
      <c r="R21" s="2024"/>
      <c r="S21" s="2024"/>
      <c r="T21" s="2024"/>
      <c r="U21" s="2024"/>
      <c r="V21" s="2024"/>
      <c r="W21" s="2024"/>
      <c r="X21" s="2024"/>
      <c r="Y21" s="2024"/>
      <c r="Z21" s="2024"/>
      <c r="AA21" s="2024"/>
      <c r="AB21" s="2024"/>
      <c r="AC21" s="2024"/>
    </row>
    <row r="22" spans="1:31" ht="26">
      <c r="A22" s="1566"/>
      <c r="B22" s="1577"/>
      <c r="C22" s="698"/>
      <c r="D22" s="1939" t="s">
        <v>1071</v>
      </c>
      <c r="E22" s="510" t="s">
        <v>197</v>
      </c>
      <c r="G22" s="510" t="s">
        <v>254</v>
      </c>
      <c r="I22" s="510" t="s">
        <v>192</v>
      </c>
      <c r="J22" s="510" t="s">
        <v>299</v>
      </c>
      <c r="K22" s="279"/>
      <c r="L22" s="1566"/>
      <c r="M22" s="1578" t="s">
        <v>847</v>
      </c>
      <c r="N22" s="1565"/>
      <c r="O22" s="1565"/>
      <c r="P22" s="1565"/>
      <c r="Q22" s="2098" t="s">
        <v>841</v>
      </c>
      <c r="R22" s="2098"/>
      <c r="S22" s="2098"/>
      <c r="T22" s="2098"/>
      <c r="U22" s="2098"/>
      <c r="V22" s="2098"/>
      <c r="W22" s="2098"/>
      <c r="X22" s="2098"/>
      <c r="Y22" s="2098"/>
      <c r="Z22" s="2098"/>
      <c r="AA22" s="2098"/>
      <c r="AB22" s="2098"/>
      <c r="AC22" s="2098"/>
    </row>
    <row r="23" spans="1:31" ht="26">
      <c r="A23" s="683" t="s">
        <v>844</v>
      </c>
      <c r="B23" s="514" t="s">
        <v>234</v>
      </c>
      <c r="C23" s="514" t="s">
        <v>305</v>
      </c>
      <c r="D23" s="683" t="str">
        <f>"Source - Page 2 of 2. Col "&amp;P7</f>
        <v>Source - Page 2 of 2. Col (D)</v>
      </c>
      <c r="E23" s="514" t="s">
        <v>177</v>
      </c>
      <c r="G23" s="514" t="s">
        <v>193</v>
      </c>
      <c r="I23" s="514" t="s">
        <v>193</v>
      </c>
      <c r="J23" s="514" t="s">
        <v>193</v>
      </c>
      <c r="K23" s="514" t="s">
        <v>216</v>
      </c>
      <c r="L23" s="514" t="s">
        <v>844</v>
      </c>
      <c r="M23" s="514" t="s">
        <v>234</v>
      </c>
      <c r="N23" s="514" t="s">
        <v>305</v>
      </c>
      <c r="O23" s="1567"/>
      <c r="P23" s="1953" t="s">
        <v>1074</v>
      </c>
      <c r="Q23" s="1571" t="str">
        <f>"December "&amp;'SWT TCOS'!$N$2-1</f>
        <v>December 2018</v>
      </c>
      <c r="R23" s="1571" t="str">
        <f>"January "&amp;'SWT TCOS'!$N$2</f>
        <v>January 2019</v>
      </c>
      <c r="S23" s="1571" t="str">
        <f>"February "&amp;'SWT TCOS'!$N$2</f>
        <v>February 2019</v>
      </c>
      <c r="T23" s="1571" t="str">
        <f>"March "&amp;'SWT TCOS'!$N$2</f>
        <v>March 2019</v>
      </c>
      <c r="U23" s="1571" t="str">
        <f>"April "&amp;'SWT TCOS'!$N$2</f>
        <v>April 2019</v>
      </c>
      <c r="V23" s="1571" t="str">
        <f>"May "&amp;'SWT TCOS'!$N$2</f>
        <v>May 2019</v>
      </c>
      <c r="W23" s="1571" t="str">
        <f>"June "&amp;'SWT TCOS'!$N$2</f>
        <v>June 2019</v>
      </c>
      <c r="X23" s="1571" t="str">
        <f>"July "&amp;'SWT TCOS'!$N$2</f>
        <v>July 2019</v>
      </c>
      <c r="Y23" s="1571" t="str">
        <f>"August "&amp;'SWT TCOS'!$N$2</f>
        <v>August 2019</v>
      </c>
      <c r="Z23" s="1571" t="str">
        <f>"September "&amp;'SWT TCOS'!$N$2</f>
        <v>September 2019</v>
      </c>
      <c r="AA23" s="1571" t="str">
        <f>"October "&amp;'SWT TCOS'!$N$2</f>
        <v>October 2019</v>
      </c>
      <c r="AB23" s="1571" t="str">
        <f>"November "&amp;'SWT TCOS'!$N$2</f>
        <v>November 2019</v>
      </c>
      <c r="AC23" s="1571" t="str">
        <f>"December "&amp;'SWT TCOS'!$N$2</f>
        <v>December 2019</v>
      </c>
      <c r="AD23" s="1565"/>
      <c r="AE23" s="1565"/>
    </row>
    <row r="24" spans="1:31">
      <c r="A24" s="1566"/>
      <c r="B24" s="1577"/>
      <c r="C24" s="1479"/>
      <c r="D24" s="1479"/>
      <c r="E24" s="1479"/>
      <c r="G24" s="1479"/>
      <c r="I24" s="1479"/>
      <c r="J24" s="1479"/>
      <c r="K24" s="279"/>
      <c r="L24" s="1566"/>
      <c r="M24" s="1565"/>
      <c r="N24" s="1565"/>
      <c r="O24" s="1565"/>
      <c r="P24" s="1565"/>
      <c r="Q24" s="1565"/>
    </row>
    <row r="25" spans="1:31">
      <c r="A25" s="328">
        <f>+A18+1</f>
        <v>4</v>
      </c>
      <c r="B25" s="700"/>
      <c r="C25" s="700"/>
      <c r="D25" s="1575">
        <f>+P25</f>
        <v>0</v>
      </c>
      <c r="E25" s="1575"/>
      <c r="F25" s="1579" t="e">
        <f>+#REF!</f>
        <v>#REF!</v>
      </c>
      <c r="G25" s="1529"/>
      <c r="H25" s="1579" t="e">
        <f>+#REF!</f>
        <v>#REF!</v>
      </c>
      <c r="I25" s="1580"/>
      <c r="J25" s="1580"/>
      <c r="K25" s="703"/>
      <c r="L25" s="328">
        <f>+L18+1</f>
        <v>4</v>
      </c>
      <c r="M25" s="700"/>
      <c r="N25" s="700"/>
      <c r="O25" s="700"/>
      <c r="P25" s="1940">
        <f t="shared" ref="P25:P49" si="1">+SUM(Q25:AC25)/13</f>
        <v>0</v>
      </c>
      <c r="Q25" s="1951"/>
      <c r="R25" s="1951"/>
      <c r="S25" s="1951"/>
      <c r="T25" s="1951"/>
      <c r="U25" s="1951"/>
      <c r="V25" s="1951"/>
      <c r="W25" s="1951"/>
      <c r="X25" s="1951"/>
      <c r="Y25" s="1951"/>
      <c r="Z25" s="1951"/>
      <c r="AA25" s="1951"/>
      <c r="AB25" s="1951"/>
      <c r="AC25" s="1951"/>
    </row>
    <row r="26" spans="1:31">
      <c r="A26" s="328">
        <f t="shared" ref="A26:A49" si="2">+A25+1</f>
        <v>5</v>
      </c>
      <c r="B26" s="700"/>
      <c r="C26" s="700"/>
      <c r="D26" s="1575">
        <f t="shared" ref="D26:D49" si="3">+P26</f>
        <v>0</v>
      </c>
      <c r="E26" s="1575"/>
      <c r="F26" s="1579"/>
      <c r="G26" s="1529"/>
      <c r="H26" s="1579"/>
      <c r="I26" s="1529"/>
      <c r="J26" s="1529"/>
      <c r="K26" s="703"/>
      <c r="L26" s="328">
        <f t="shared" ref="L26:L49" si="4">+L25+1</f>
        <v>5</v>
      </c>
      <c r="M26" s="700"/>
      <c r="N26" s="700"/>
      <c r="O26" s="700"/>
      <c r="P26" s="1940">
        <f t="shared" si="1"/>
        <v>0</v>
      </c>
      <c r="Q26" s="1951"/>
      <c r="R26" s="1951"/>
      <c r="S26" s="1951"/>
      <c r="T26" s="1951"/>
      <c r="U26" s="1951"/>
      <c r="V26" s="1951"/>
      <c r="W26" s="1951"/>
      <c r="X26" s="1951"/>
      <c r="Y26" s="1951"/>
      <c r="Z26" s="1951"/>
      <c r="AA26" s="1951"/>
      <c r="AB26" s="1951"/>
      <c r="AC26" s="1951"/>
    </row>
    <row r="27" spans="1:31">
      <c r="A27" s="328">
        <f t="shared" si="2"/>
        <v>6</v>
      </c>
      <c r="B27" s="704"/>
      <c r="C27" s="700"/>
      <c r="D27" s="1575">
        <f t="shared" si="3"/>
        <v>0</v>
      </c>
      <c r="E27" s="1575"/>
      <c r="F27" s="1579"/>
      <c r="G27" s="1529"/>
      <c r="H27" s="1579"/>
      <c r="I27" s="1529"/>
      <c r="J27" s="1529"/>
      <c r="K27" s="703"/>
      <c r="L27" s="328">
        <f t="shared" si="4"/>
        <v>6</v>
      </c>
      <c r="M27" s="705"/>
      <c r="N27" s="700"/>
      <c r="O27" s="700"/>
      <c r="P27" s="1940">
        <f t="shared" si="1"/>
        <v>0</v>
      </c>
      <c r="Q27" s="1951"/>
      <c r="R27" s="1951"/>
      <c r="S27" s="1951"/>
      <c r="T27" s="1951"/>
      <c r="U27" s="1951"/>
      <c r="V27" s="1951"/>
      <c r="W27" s="1951"/>
      <c r="X27" s="1951"/>
      <c r="Y27" s="1951"/>
      <c r="Z27" s="1951"/>
      <c r="AA27" s="1951"/>
      <c r="AB27" s="1951"/>
      <c r="AC27" s="1951"/>
    </row>
    <row r="28" spans="1:31">
      <c r="A28" s="328">
        <f t="shared" si="2"/>
        <v>7</v>
      </c>
      <c r="B28" s="700"/>
      <c r="C28" s="700"/>
      <c r="D28" s="1575">
        <f t="shared" si="3"/>
        <v>0</v>
      </c>
      <c r="E28" s="1575"/>
      <c r="F28" s="1579"/>
      <c r="G28" s="1529"/>
      <c r="H28" s="1579"/>
      <c r="I28" s="1529"/>
      <c r="J28" s="1529"/>
      <c r="K28" s="703"/>
      <c r="L28" s="328">
        <f t="shared" si="4"/>
        <v>7</v>
      </c>
      <c r="M28" s="705"/>
      <c r="N28" s="700"/>
      <c r="O28" s="700"/>
      <c r="P28" s="1940">
        <f t="shared" si="1"/>
        <v>0</v>
      </c>
      <c r="Q28" s="1951"/>
      <c r="R28" s="1951"/>
      <c r="S28" s="1951"/>
      <c r="T28" s="1951"/>
      <c r="U28" s="1951"/>
      <c r="V28" s="1951"/>
      <c r="W28" s="1951"/>
      <c r="X28" s="1951"/>
      <c r="Y28" s="1951"/>
      <c r="Z28" s="1951"/>
      <c r="AA28" s="1951"/>
      <c r="AB28" s="1951"/>
      <c r="AC28" s="1951"/>
    </row>
    <row r="29" spans="1:31">
      <c r="A29" s="328">
        <f t="shared" si="2"/>
        <v>8</v>
      </c>
      <c r="B29" s="700"/>
      <c r="C29" s="700"/>
      <c r="D29" s="1529">
        <f t="shared" si="3"/>
        <v>0</v>
      </c>
      <c r="E29" s="1529"/>
      <c r="F29" s="1579"/>
      <c r="G29" s="1529"/>
      <c r="H29" s="1579"/>
      <c r="I29" s="1529"/>
      <c r="J29" s="1529"/>
      <c r="K29" s="703"/>
      <c r="L29" s="328">
        <f t="shared" si="4"/>
        <v>8</v>
      </c>
      <c r="M29" s="705"/>
      <c r="N29" s="700"/>
      <c r="O29" s="700"/>
      <c r="P29" s="1940">
        <f t="shared" si="1"/>
        <v>0</v>
      </c>
      <c r="Q29" s="1951"/>
      <c r="R29" s="1951"/>
      <c r="S29" s="1951"/>
      <c r="T29" s="1951"/>
      <c r="U29" s="1951"/>
      <c r="V29" s="1951"/>
      <c r="W29" s="1951"/>
      <c r="X29" s="1951"/>
      <c r="Y29" s="1951"/>
      <c r="Z29" s="1951"/>
      <c r="AA29" s="1951"/>
      <c r="AB29" s="1951"/>
      <c r="AC29" s="1951"/>
    </row>
    <row r="30" spans="1:31">
      <c r="A30" s="328">
        <f t="shared" si="2"/>
        <v>9</v>
      </c>
      <c r="B30" s="700"/>
      <c r="C30" s="700"/>
      <c r="D30" s="1581">
        <f t="shared" si="3"/>
        <v>0</v>
      </c>
      <c r="E30" s="1581"/>
      <c r="F30" s="1579"/>
      <c r="G30" s="1581"/>
      <c r="H30" s="1582"/>
      <c r="I30" s="1581"/>
      <c r="J30" s="1581"/>
      <c r="K30" s="703"/>
      <c r="L30" s="328">
        <f t="shared" si="4"/>
        <v>9</v>
      </c>
      <c r="M30" s="705"/>
      <c r="N30" s="700"/>
      <c r="O30" s="700"/>
      <c r="P30" s="1940">
        <f t="shared" si="1"/>
        <v>0</v>
      </c>
      <c r="Q30" s="1951"/>
      <c r="R30" s="1951"/>
      <c r="S30" s="1951"/>
      <c r="T30" s="1951"/>
      <c r="U30" s="1951"/>
      <c r="V30" s="1951"/>
      <c r="W30" s="1951"/>
      <c r="X30" s="1951"/>
      <c r="Y30" s="1951"/>
      <c r="Z30" s="1951"/>
      <c r="AA30" s="1951"/>
      <c r="AB30" s="1951"/>
      <c r="AC30" s="1951"/>
    </row>
    <row r="31" spans="1:31">
      <c r="A31" s="328">
        <f t="shared" si="2"/>
        <v>10</v>
      </c>
      <c r="B31" s="704"/>
      <c r="C31" s="700"/>
      <c r="D31" s="1529">
        <f t="shared" si="3"/>
        <v>0</v>
      </c>
      <c r="E31" s="1529"/>
      <c r="F31" s="1579"/>
      <c r="G31" s="1529"/>
      <c r="H31" s="1582"/>
      <c r="I31" s="1529"/>
      <c r="J31" s="1529"/>
      <c r="K31" s="703"/>
      <c r="L31" s="328">
        <f t="shared" si="4"/>
        <v>10</v>
      </c>
      <c r="M31" s="705"/>
      <c r="N31" s="700"/>
      <c r="O31" s="700"/>
      <c r="P31" s="1940">
        <f t="shared" si="1"/>
        <v>0</v>
      </c>
      <c r="Q31" s="1951"/>
      <c r="R31" s="1951"/>
      <c r="S31" s="1951"/>
      <c r="T31" s="1951"/>
      <c r="U31" s="1951"/>
      <c r="V31" s="1951"/>
      <c r="W31" s="1951"/>
      <c r="X31" s="1951"/>
      <c r="Y31" s="1951"/>
      <c r="Z31" s="1951"/>
      <c r="AA31" s="1951"/>
      <c r="AB31" s="1951"/>
      <c r="AC31" s="1951"/>
    </row>
    <row r="32" spans="1:31">
      <c r="A32" s="328">
        <f t="shared" si="2"/>
        <v>11</v>
      </c>
      <c r="B32" s="704"/>
      <c r="C32" s="700"/>
      <c r="D32" s="1529">
        <f t="shared" si="3"/>
        <v>0</v>
      </c>
      <c r="E32" s="1529"/>
      <c r="F32" s="1579"/>
      <c r="G32" s="1529"/>
      <c r="H32" s="1582"/>
      <c r="I32" s="1583"/>
      <c r="J32" s="1583"/>
      <c r="K32" s="703"/>
      <c r="L32" s="328">
        <f t="shared" si="4"/>
        <v>11</v>
      </c>
      <c r="M32" s="705"/>
      <c r="N32" s="700"/>
      <c r="O32" s="700"/>
      <c r="P32" s="1940">
        <f t="shared" si="1"/>
        <v>0</v>
      </c>
      <c r="Q32" s="1951"/>
      <c r="R32" s="1951"/>
      <c r="S32" s="1951"/>
      <c r="T32" s="1951"/>
      <c r="U32" s="1951"/>
      <c r="V32" s="1951"/>
      <c r="W32" s="1951"/>
      <c r="X32" s="1951"/>
      <c r="Y32" s="1951"/>
      <c r="Z32" s="1951"/>
      <c r="AA32" s="1951"/>
      <c r="AB32" s="1951"/>
      <c r="AC32" s="1951"/>
    </row>
    <row r="33" spans="1:29">
      <c r="A33" s="328">
        <f t="shared" si="2"/>
        <v>12</v>
      </c>
      <c r="B33" s="700"/>
      <c r="C33" s="700"/>
      <c r="D33" s="1529">
        <f t="shared" si="3"/>
        <v>0</v>
      </c>
      <c r="E33" s="1529"/>
      <c r="F33" s="1579"/>
      <c r="G33" s="1529"/>
      <c r="H33" s="1582"/>
      <c r="I33" s="1529"/>
      <c r="J33" s="1529"/>
      <c r="K33" s="703"/>
      <c r="L33" s="328">
        <f t="shared" si="4"/>
        <v>12</v>
      </c>
      <c r="M33" s="705"/>
      <c r="N33" s="700"/>
      <c r="O33" s="700"/>
      <c r="P33" s="1940">
        <f t="shared" si="1"/>
        <v>0</v>
      </c>
      <c r="Q33" s="1951"/>
      <c r="R33" s="1951"/>
      <c r="S33" s="1951"/>
      <c r="T33" s="1951"/>
      <c r="U33" s="1951"/>
      <c r="V33" s="1951"/>
      <c r="W33" s="1951"/>
      <c r="X33" s="1951"/>
      <c r="Y33" s="1951"/>
      <c r="Z33" s="1951"/>
      <c r="AA33" s="1951"/>
      <c r="AB33" s="1951"/>
      <c r="AC33" s="1951"/>
    </row>
    <row r="34" spans="1:29">
      <c r="A34" s="328">
        <f t="shared" si="2"/>
        <v>13</v>
      </c>
      <c r="B34" s="709"/>
      <c r="C34" s="700"/>
      <c r="D34" s="1529">
        <f t="shared" si="3"/>
        <v>0</v>
      </c>
      <c r="E34" s="1529"/>
      <c r="F34" s="1579"/>
      <c r="G34" s="1529"/>
      <c r="H34" s="1582"/>
      <c r="I34" s="1584"/>
      <c r="J34" s="1584"/>
      <c r="K34" s="703"/>
      <c r="L34" s="328">
        <f t="shared" si="4"/>
        <v>13</v>
      </c>
      <c r="M34" s="705"/>
      <c r="N34" s="700"/>
      <c r="O34" s="700"/>
      <c r="P34" s="1940">
        <f t="shared" si="1"/>
        <v>0</v>
      </c>
      <c r="Q34" s="1951"/>
      <c r="R34" s="1951"/>
      <c r="S34" s="1951"/>
      <c r="T34" s="1951"/>
      <c r="U34" s="1951"/>
      <c r="V34" s="1951"/>
      <c r="W34" s="1951"/>
      <c r="X34" s="1951"/>
      <c r="Y34" s="1951"/>
      <c r="Z34" s="1951"/>
      <c r="AA34" s="1951"/>
      <c r="AB34" s="1951"/>
      <c r="AC34" s="1951"/>
    </row>
    <row r="35" spans="1:29">
      <c r="A35" s="328">
        <f t="shared" si="2"/>
        <v>14</v>
      </c>
      <c r="B35" s="709"/>
      <c r="C35" s="700"/>
      <c r="D35" s="1529">
        <f t="shared" si="3"/>
        <v>0</v>
      </c>
      <c r="E35" s="1529"/>
      <c r="F35" s="1579"/>
      <c r="G35" s="1529"/>
      <c r="H35" s="1582"/>
      <c r="I35" s="1580"/>
      <c r="J35" s="1580"/>
      <c r="K35" s="703"/>
      <c r="L35" s="328">
        <f t="shared" si="4"/>
        <v>14</v>
      </c>
      <c r="M35" s="705"/>
      <c r="N35" s="700"/>
      <c r="O35" s="700"/>
      <c r="P35" s="1940">
        <f t="shared" si="1"/>
        <v>0</v>
      </c>
      <c r="Q35" s="1951"/>
      <c r="R35" s="1951"/>
      <c r="S35" s="1951"/>
      <c r="T35" s="1951"/>
      <c r="U35" s="1951"/>
      <c r="V35" s="1951"/>
      <c r="W35" s="1951"/>
      <c r="X35" s="1951"/>
      <c r="Y35" s="1951"/>
      <c r="Z35" s="1951"/>
      <c r="AA35" s="1951"/>
      <c r="AB35" s="1951"/>
      <c r="AC35" s="1951"/>
    </row>
    <row r="36" spans="1:29">
      <c r="A36" s="328">
        <f t="shared" si="2"/>
        <v>15</v>
      </c>
      <c r="B36" s="709"/>
      <c r="C36" s="700"/>
      <c r="D36" s="1529">
        <f t="shared" si="3"/>
        <v>0</v>
      </c>
      <c r="E36" s="1529"/>
      <c r="F36" s="1579"/>
      <c r="G36" s="1529"/>
      <c r="H36" s="1582"/>
      <c r="I36" s="1529"/>
      <c r="J36" s="1529"/>
      <c r="K36" s="562"/>
      <c r="L36" s="328">
        <f t="shared" si="4"/>
        <v>15</v>
      </c>
      <c r="M36" s="705"/>
      <c r="N36" s="700"/>
      <c r="O36" s="700"/>
      <c r="P36" s="1940">
        <f t="shared" si="1"/>
        <v>0</v>
      </c>
      <c r="Q36" s="1951"/>
      <c r="R36" s="1951"/>
      <c r="S36" s="1951"/>
      <c r="T36" s="1951"/>
      <c r="U36" s="1951"/>
      <c r="V36" s="1951"/>
      <c r="W36" s="1951"/>
      <c r="X36" s="1951"/>
      <c r="Y36" s="1951"/>
      <c r="Z36" s="1951"/>
      <c r="AA36" s="1951"/>
      <c r="AB36" s="1951"/>
      <c r="AC36" s="1951"/>
    </row>
    <row r="37" spans="1:29">
      <c r="A37" s="328">
        <f t="shared" si="2"/>
        <v>16</v>
      </c>
      <c r="B37" s="709"/>
      <c r="C37" s="700"/>
      <c r="D37" s="1529">
        <f t="shared" si="3"/>
        <v>0</v>
      </c>
      <c r="E37" s="1529"/>
      <c r="F37" s="1579"/>
      <c r="G37" s="1529"/>
      <c r="H37" s="1582"/>
      <c r="I37" s="132"/>
      <c r="J37" s="132"/>
      <c r="K37" s="562"/>
      <c r="L37" s="328">
        <f t="shared" si="4"/>
        <v>16</v>
      </c>
      <c r="M37" s="705"/>
      <c r="N37" s="700"/>
      <c r="O37" s="700"/>
      <c r="P37" s="1940">
        <f t="shared" si="1"/>
        <v>0</v>
      </c>
      <c r="Q37" s="1951"/>
      <c r="R37" s="1951"/>
      <c r="S37" s="1951"/>
      <c r="T37" s="1951"/>
      <c r="U37" s="1951"/>
      <c r="V37" s="1951"/>
      <c r="W37" s="1951"/>
      <c r="X37" s="1951"/>
      <c r="Y37" s="1951"/>
      <c r="Z37" s="1951"/>
      <c r="AA37" s="1951"/>
      <c r="AB37" s="1951"/>
      <c r="AC37" s="1951"/>
    </row>
    <row r="38" spans="1:29">
      <c r="A38" s="328">
        <f t="shared" si="2"/>
        <v>17</v>
      </c>
      <c r="B38" s="709"/>
      <c r="C38" s="700"/>
      <c r="D38" s="1529">
        <f t="shared" si="3"/>
        <v>0</v>
      </c>
      <c r="E38" s="1529"/>
      <c r="F38" s="1579"/>
      <c r="G38" s="1529"/>
      <c r="H38" s="1582"/>
      <c r="I38" s="1529"/>
      <c r="J38" s="1529"/>
      <c r="K38" s="562"/>
      <c r="L38" s="328">
        <f t="shared" si="4"/>
        <v>17</v>
      </c>
      <c r="M38" s="705"/>
      <c r="N38" s="700"/>
      <c r="O38" s="700"/>
      <c r="P38" s="1940">
        <f t="shared" si="1"/>
        <v>0</v>
      </c>
      <c r="Q38" s="1951"/>
      <c r="R38" s="1951"/>
      <c r="S38" s="1951"/>
      <c r="T38" s="1951"/>
      <c r="U38" s="1951"/>
      <c r="V38" s="1951"/>
      <c r="W38" s="1951"/>
      <c r="X38" s="1951"/>
      <c r="Y38" s="1951"/>
      <c r="Z38" s="1951"/>
      <c r="AA38" s="1951"/>
      <c r="AB38" s="1951"/>
      <c r="AC38" s="1951"/>
    </row>
    <row r="39" spans="1:29">
      <c r="A39" s="328">
        <f t="shared" si="2"/>
        <v>18</v>
      </c>
      <c r="B39" s="709"/>
      <c r="C39" s="700"/>
      <c r="D39" s="1529">
        <f t="shared" si="3"/>
        <v>0</v>
      </c>
      <c r="E39" s="1529"/>
      <c r="F39" s="1579"/>
      <c r="G39" s="1529"/>
      <c r="H39" s="1582"/>
      <c r="I39" s="1529"/>
      <c r="J39" s="1529"/>
      <c r="K39" s="562"/>
      <c r="L39" s="328">
        <f t="shared" si="4"/>
        <v>18</v>
      </c>
      <c r="M39" s="705"/>
      <c r="N39" s="700"/>
      <c r="O39" s="700"/>
      <c r="P39" s="1940">
        <f t="shared" si="1"/>
        <v>0</v>
      </c>
      <c r="Q39" s="1951"/>
      <c r="R39" s="1951"/>
      <c r="S39" s="1951"/>
      <c r="T39" s="1951"/>
      <c r="U39" s="1951"/>
      <c r="V39" s="1951"/>
      <c r="W39" s="1951"/>
      <c r="X39" s="1951"/>
      <c r="Y39" s="1951"/>
      <c r="Z39" s="1951"/>
      <c r="AA39" s="1951"/>
      <c r="AB39" s="1951"/>
      <c r="AC39" s="1951"/>
    </row>
    <row r="40" spans="1:29">
      <c r="A40" s="328">
        <f t="shared" si="2"/>
        <v>19</v>
      </c>
      <c r="B40" s="709"/>
      <c r="C40" s="700"/>
      <c r="D40" s="1529">
        <f t="shared" si="3"/>
        <v>0</v>
      </c>
      <c r="E40" s="1529"/>
      <c r="F40" s="1579"/>
      <c r="G40" s="1529"/>
      <c r="H40" s="1582"/>
      <c r="I40" s="1529"/>
      <c r="J40" s="1529"/>
      <c r="K40" s="562"/>
      <c r="L40" s="328">
        <f t="shared" si="4"/>
        <v>19</v>
      </c>
      <c r="M40" s="705"/>
      <c r="N40" s="700"/>
      <c r="O40" s="700"/>
      <c r="P40" s="1940">
        <f t="shared" si="1"/>
        <v>0</v>
      </c>
      <c r="Q40" s="1951"/>
      <c r="R40" s="1951"/>
      <c r="S40" s="1951"/>
      <c r="T40" s="1951"/>
      <c r="U40" s="1951"/>
      <c r="V40" s="1951"/>
      <c r="W40" s="1951"/>
      <c r="X40" s="1951"/>
      <c r="Y40" s="1951"/>
      <c r="Z40" s="1951"/>
      <c r="AA40" s="1951"/>
      <c r="AB40" s="1951"/>
      <c r="AC40" s="1951"/>
    </row>
    <row r="41" spans="1:29">
      <c r="A41" s="328">
        <f t="shared" si="2"/>
        <v>20</v>
      </c>
      <c r="B41" s="709"/>
      <c r="C41" s="700"/>
      <c r="D41" s="1529">
        <f t="shared" si="3"/>
        <v>0</v>
      </c>
      <c r="E41" s="1529"/>
      <c r="F41" s="1579"/>
      <c r="G41" s="1529"/>
      <c r="H41" s="1582"/>
      <c r="I41" s="1529"/>
      <c r="J41" s="1529"/>
      <c r="K41" s="562"/>
      <c r="L41" s="328">
        <f t="shared" si="4"/>
        <v>20</v>
      </c>
      <c r="M41" s="705"/>
      <c r="N41" s="700"/>
      <c r="O41" s="700"/>
      <c r="P41" s="1940">
        <f t="shared" si="1"/>
        <v>0</v>
      </c>
      <c r="Q41" s="1951"/>
      <c r="R41" s="1951"/>
      <c r="S41" s="1951"/>
      <c r="T41" s="1951"/>
      <c r="U41" s="1951"/>
      <c r="V41" s="1951"/>
      <c r="W41" s="1951"/>
      <c r="X41" s="1951"/>
      <c r="Y41" s="1951"/>
      <c r="Z41" s="1951"/>
      <c r="AA41" s="1951"/>
      <c r="AB41" s="1951"/>
      <c r="AC41" s="1951"/>
    </row>
    <row r="42" spans="1:29">
      <c r="A42" s="328">
        <f t="shared" si="2"/>
        <v>21</v>
      </c>
      <c r="B42" s="709"/>
      <c r="C42" s="700"/>
      <c r="D42" s="1529">
        <f t="shared" si="3"/>
        <v>0</v>
      </c>
      <c r="E42" s="1529"/>
      <c r="F42" s="1579"/>
      <c r="G42" s="1529"/>
      <c r="H42" s="1582"/>
      <c r="I42" s="1529"/>
      <c r="J42" s="1581"/>
      <c r="K42" s="562"/>
      <c r="L42" s="328">
        <f t="shared" si="4"/>
        <v>21</v>
      </c>
      <c r="M42" s="705"/>
      <c r="N42" s="700"/>
      <c r="O42" s="700"/>
      <c r="P42" s="1940">
        <f t="shared" si="1"/>
        <v>0</v>
      </c>
      <c r="Q42" s="1951"/>
      <c r="R42" s="1951"/>
      <c r="S42" s="1951"/>
      <c r="T42" s="1951"/>
      <c r="U42" s="1951"/>
      <c r="V42" s="1951"/>
      <c r="W42" s="1951"/>
      <c r="X42" s="1951"/>
      <c r="Y42" s="1951"/>
      <c r="Z42" s="1951"/>
      <c r="AA42" s="1951"/>
      <c r="AB42" s="1951"/>
      <c r="AC42" s="1951"/>
    </row>
    <row r="43" spans="1:29">
      <c r="A43" s="328">
        <f t="shared" si="2"/>
        <v>22</v>
      </c>
      <c r="B43" s="709"/>
      <c r="C43" s="700"/>
      <c r="D43" s="1529">
        <f t="shared" si="3"/>
        <v>0</v>
      </c>
      <c r="E43" s="1529"/>
      <c r="F43" s="1579"/>
      <c r="G43" s="1529"/>
      <c r="H43" s="1582"/>
      <c r="I43" s="1529"/>
      <c r="J43" s="1581"/>
      <c r="K43" s="562"/>
      <c r="L43" s="328">
        <f t="shared" si="4"/>
        <v>22</v>
      </c>
      <c r="M43" s="705"/>
      <c r="N43" s="700"/>
      <c r="O43" s="700"/>
      <c r="P43" s="1940">
        <f t="shared" si="1"/>
        <v>0</v>
      </c>
      <c r="Q43" s="1951"/>
      <c r="R43" s="1951"/>
      <c r="S43" s="1951"/>
      <c r="T43" s="1951"/>
      <c r="U43" s="1951"/>
      <c r="V43" s="1951"/>
      <c r="W43" s="1951"/>
      <c r="X43" s="1951"/>
      <c r="Y43" s="1951"/>
      <c r="Z43" s="1951"/>
      <c r="AA43" s="1951"/>
      <c r="AB43" s="1951"/>
      <c r="AC43" s="1951"/>
    </row>
    <row r="44" spans="1:29">
      <c r="A44" s="328">
        <f t="shared" si="2"/>
        <v>23</v>
      </c>
      <c r="B44" s="709"/>
      <c r="C44" s="700"/>
      <c r="D44" s="1529">
        <f t="shared" si="3"/>
        <v>0</v>
      </c>
      <c r="E44" s="1529"/>
      <c r="F44" s="1579"/>
      <c r="G44" s="1529"/>
      <c r="H44" s="1582"/>
      <c r="I44" s="1529"/>
      <c r="J44" s="1581"/>
      <c r="K44" s="562"/>
      <c r="L44" s="328">
        <f t="shared" si="4"/>
        <v>23</v>
      </c>
      <c r="M44" s="705"/>
      <c r="N44" s="700"/>
      <c r="O44" s="700"/>
      <c r="P44" s="1940">
        <f t="shared" si="1"/>
        <v>0</v>
      </c>
      <c r="Q44" s="1951"/>
      <c r="R44" s="1951"/>
      <c r="S44" s="1951"/>
      <c r="T44" s="1951"/>
      <c r="U44" s="1951"/>
      <c r="V44" s="1951"/>
      <c r="W44" s="1951"/>
      <c r="X44" s="1951"/>
      <c r="Y44" s="1951"/>
      <c r="Z44" s="1951"/>
      <c r="AA44" s="1951"/>
      <c r="AB44" s="1951"/>
      <c r="AC44" s="1951"/>
    </row>
    <row r="45" spans="1:29">
      <c r="A45" s="328">
        <f t="shared" si="2"/>
        <v>24</v>
      </c>
      <c r="B45" s="709"/>
      <c r="C45" s="700"/>
      <c r="D45" s="1529">
        <f t="shared" si="3"/>
        <v>0</v>
      </c>
      <c r="E45" s="1529"/>
      <c r="F45" s="1579"/>
      <c r="G45" s="1529"/>
      <c r="H45" s="1582"/>
      <c r="I45" s="1529"/>
      <c r="J45" s="1581"/>
      <c r="K45" s="562"/>
      <c r="L45" s="328">
        <f t="shared" si="4"/>
        <v>24</v>
      </c>
      <c r="M45" s="705"/>
      <c r="N45" s="711"/>
      <c r="O45" s="711"/>
      <c r="P45" s="1940">
        <f t="shared" si="1"/>
        <v>0</v>
      </c>
      <c r="Q45" s="1951"/>
      <c r="R45" s="1951"/>
      <c r="S45" s="1951"/>
      <c r="T45" s="1951"/>
      <c r="U45" s="1951"/>
      <c r="V45" s="1951"/>
      <c r="W45" s="1951"/>
      <c r="X45" s="1951"/>
      <c r="Y45" s="1951"/>
      <c r="Z45" s="1951"/>
      <c r="AA45" s="1951"/>
      <c r="AB45" s="1951"/>
      <c r="AC45" s="1951"/>
    </row>
    <row r="46" spans="1:29">
      <c r="A46" s="328">
        <f t="shared" si="2"/>
        <v>25</v>
      </c>
      <c r="B46" s="712"/>
      <c r="C46" s="713"/>
      <c r="D46" s="1529">
        <f t="shared" si="3"/>
        <v>0</v>
      </c>
      <c r="E46" s="1529"/>
      <c r="F46" s="1585"/>
      <c r="G46" s="1586"/>
      <c r="H46" s="1587"/>
      <c r="I46" s="1586"/>
      <c r="J46" s="1586"/>
      <c r="K46" s="605"/>
      <c r="L46" s="328">
        <f t="shared" si="4"/>
        <v>25</v>
      </c>
      <c r="M46" s="705"/>
      <c r="N46" s="711"/>
      <c r="O46" s="711"/>
      <c r="P46" s="1940">
        <f t="shared" si="1"/>
        <v>0</v>
      </c>
      <c r="Q46" s="1954"/>
      <c r="R46" s="1954"/>
      <c r="S46" s="1954"/>
      <c r="T46" s="1954"/>
      <c r="U46" s="1954"/>
      <c r="V46" s="1954"/>
      <c r="W46" s="1954"/>
      <c r="X46" s="1954"/>
      <c r="Y46" s="1954"/>
      <c r="Z46" s="1954"/>
      <c r="AA46" s="1954"/>
      <c r="AB46" s="1954"/>
      <c r="AC46" s="1954"/>
    </row>
    <row r="47" spans="1:29">
      <c r="A47" s="328">
        <f t="shared" si="2"/>
        <v>26</v>
      </c>
      <c r="B47" s="709"/>
      <c r="C47" s="700"/>
      <c r="D47" s="1529">
        <f t="shared" si="3"/>
        <v>0</v>
      </c>
      <c r="E47" s="1529"/>
      <c r="F47" s="1579"/>
      <c r="G47" s="1529"/>
      <c r="H47" s="1582"/>
      <c r="I47" s="1529"/>
      <c r="J47" s="1581"/>
      <c r="K47" s="562"/>
      <c r="L47" s="328">
        <f t="shared" si="4"/>
        <v>26</v>
      </c>
      <c r="M47" s="705"/>
      <c r="N47" s="711"/>
      <c r="O47" s="711"/>
      <c r="P47" s="1940">
        <f t="shared" si="1"/>
        <v>0</v>
      </c>
      <c r="Q47" s="1951"/>
      <c r="R47" s="1951"/>
      <c r="S47" s="1951"/>
      <c r="T47" s="1951"/>
      <c r="U47" s="1951"/>
      <c r="V47" s="1951"/>
      <c r="W47" s="1951"/>
      <c r="X47" s="1951"/>
      <c r="Y47" s="1951"/>
      <c r="Z47" s="1951"/>
      <c r="AA47" s="1951"/>
      <c r="AB47" s="1951"/>
      <c r="AC47" s="1951"/>
    </row>
    <row r="48" spans="1:29">
      <c r="A48" s="328">
        <f t="shared" si="2"/>
        <v>27</v>
      </c>
      <c r="B48" s="709"/>
      <c r="C48" s="700"/>
      <c r="D48" s="1529">
        <f t="shared" si="3"/>
        <v>0</v>
      </c>
      <c r="E48" s="1529"/>
      <c r="F48" s="1579"/>
      <c r="G48" s="1529"/>
      <c r="H48" s="1579"/>
      <c r="I48" s="1529"/>
      <c r="J48" s="1581"/>
      <c r="K48" s="562"/>
      <c r="L48" s="328">
        <f t="shared" si="4"/>
        <v>27</v>
      </c>
      <c r="M48" s="705"/>
      <c r="N48" s="711"/>
      <c r="O48" s="711"/>
      <c r="P48" s="1940">
        <f t="shared" si="1"/>
        <v>0</v>
      </c>
      <c r="Q48" s="1951"/>
      <c r="R48" s="1951"/>
      <c r="S48" s="1951"/>
      <c r="T48" s="1951"/>
      <c r="U48" s="1951"/>
      <c r="V48" s="1951"/>
      <c r="W48" s="1951"/>
      <c r="X48" s="1951"/>
      <c r="Y48" s="1951"/>
      <c r="Z48" s="1951"/>
      <c r="AA48" s="1951"/>
      <c r="AB48" s="1951"/>
      <c r="AC48" s="1951"/>
    </row>
    <row r="49" spans="1:29">
      <c r="A49" s="328">
        <f t="shared" si="2"/>
        <v>28</v>
      </c>
      <c r="B49" s="709"/>
      <c r="C49" s="700"/>
      <c r="D49" s="1529">
        <f t="shared" si="3"/>
        <v>0</v>
      </c>
      <c r="E49" s="1529"/>
      <c r="F49" s="1579"/>
      <c r="G49" s="1529"/>
      <c r="H49" s="1579"/>
      <c r="I49" s="1529"/>
      <c r="J49" s="1581"/>
      <c r="K49" s="562"/>
      <c r="L49" s="328">
        <f t="shared" si="4"/>
        <v>28</v>
      </c>
      <c r="M49" s="705"/>
      <c r="N49" s="711"/>
      <c r="O49" s="711"/>
      <c r="P49" s="1940">
        <f t="shared" si="1"/>
        <v>0</v>
      </c>
      <c r="Q49" s="1951"/>
      <c r="R49" s="1951"/>
      <c r="S49" s="1951"/>
      <c r="T49" s="1951"/>
      <c r="U49" s="1951"/>
      <c r="V49" s="1951"/>
      <c r="W49" s="1951"/>
      <c r="X49" s="1951"/>
      <c r="Y49" s="1951"/>
      <c r="Z49" s="1951"/>
      <c r="AA49" s="1951"/>
      <c r="AB49" s="1951"/>
      <c r="AC49" s="1951"/>
    </row>
    <row r="50" spans="1:29" ht="13" thickBot="1">
      <c r="A50" s="1566"/>
      <c r="B50" s="719"/>
      <c r="C50" s="719"/>
      <c r="D50" s="1588"/>
      <c r="E50" s="1589"/>
      <c r="F50" s="1590"/>
      <c r="G50" s="1589"/>
      <c r="H50" s="1590"/>
      <c r="I50" s="1589"/>
      <c r="J50" s="1589"/>
      <c r="K50" s="723"/>
      <c r="L50" s="1566"/>
      <c r="M50" s="1565"/>
      <c r="N50" s="1565"/>
      <c r="O50" s="1565"/>
      <c r="P50" s="1573"/>
      <c r="Q50" s="1565"/>
    </row>
    <row r="51" spans="1:29" ht="13">
      <c r="A51" s="1566">
        <f>+A49+1</f>
        <v>29</v>
      </c>
      <c r="B51" s="1577"/>
      <c r="C51" s="513"/>
      <c r="D51" s="1591">
        <f>SUM(D25:D50)</f>
        <v>0</v>
      </c>
      <c r="E51" s="1592">
        <f>SUM(E25:E50)</f>
        <v>0</v>
      </c>
      <c r="F51" s="1582"/>
      <c r="G51" s="1592">
        <f>SUM(G25:G50)</f>
        <v>0</v>
      </c>
      <c r="H51" s="1582"/>
      <c r="I51" s="1592">
        <f>SUM(I25:I50)</f>
        <v>0</v>
      </c>
      <c r="J51" s="1592">
        <f>SUM(J25:J50)</f>
        <v>0</v>
      </c>
      <c r="K51" s="279"/>
      <c r="L51" s="1566">
        <f>+L49+1</f>
        <v>29</v>
      </c>
      <c r="M51" s="513" t="s">
        <v>846</v>
      </c>
      <c r="O51" s="1565"/>
      <c r="P51" s="1593">
        <f t="shared" ref="P51:AC51" si="5">SUM(P25:P50)</f>
        <v>0</v>
      </c>
      <c r="Q51" s="1592">
        <f t="shared" si="5"/>
        <v>0</v>
      </c>
      <c r="R51" s="1592">
        <f t="shared" si="5"/>
        <v>0</v>
      </c>
      <c r="S51" s="1592">
        <f t="shared" si="5"/>
        <v>0</v>
      </c>
      <c r="T51" s="1592">
        <f t="shared" si="5"/>
        <v>0</v>
      </c>
      <c r="U51" s="1592">
        <f t="shared" si="5"/>
        <v>0</v>
      </c>
      <c r="V51" s="1592">
        <f t="shared" si="5"/>
        <v>0</v>
      </c>
      <c r="W51" s="1592">
        <f t="shared" si="5"/>
        <v>0</v>
      </c>
      <c r="X51" s="1592">
        <f t="shared" si="5"/>
        <v>0</v>
      </c>
      <c r="Y51" s="1592">
        <f t="shared" si="5"/>
        <v>0</v>
      </c>
      <c r="Z51" s="1592">
        <f t="shared" si="5"/>
        <v>0</v>
      </c>
      <c r="AA51" s="1592">
        <f t="shared" si="5"/>
        <v>0</v>
      </c>
      <c r="AB51" s="1592">
        <f t="shared" si="5"/>
        <v>0</v>
      </c>
      <c r="AC51" s="1592">
        <f t="shared" si="5"/>
        <v>0</v>
      </c>
    </row>
    <row r="52" spans="1:29" ht="13">
      <c r="A52" s="1566"/>
      <c r="B52" s="1577"/>
      <c r="C52" s="513"/>
      <c r="D52" s="1594"/>
      <c r="E52" s="1595"/>
      <c r="F52" s="1582"/>
      <c r="G52" s="1595"/>
      <c r="H52" s="1582"/>
      <c r="I52" s="1595"/>
      <c r="J52" s="1595"/>
      <c r="K52" s="279"/>
      <c r="L52" s="1565"/>
      <c r="M52" s="1565"/>
      <c r="N52" s="1565"/>
      <c r="O52" s="1565"/>
      <c r="P52" s="1565"/>
      <c r="Q52" s="1565"/>
    </row>
    <row r="53" spans="1:29" ht="49.5" customHeight="1">
      <c r="A53" s="1596" t="s">
        <v>747</v>
      </c>
      <c r="B53" s="2023" t="s">
        <v>746</v>
      </c>
      <c r="C53" s="2023"/>
      <c r="D53" s="2023"/>
      <c r="E53" s="2023"/>
      <c r="F53" s="2023"/>
      <c r="G53" s="2023"/>
      <c r="H53" s="2023"/>
      <c r="I53" s="2023"/>
      <c r="J53" s="2023"/>
      <c r="K53" s="2023"/>
      <c r="L53" s="1596" t="s">
        <v>747</v>
      </c>
      <c r="M53" s="2023" t="str">
        <f>+B53</f>
        <v>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v>
      </c>
      <c r="N53" s="2023"/>
      <c r="O53" s="2023"/>
      <c r="P53" s="2023"/>
      <c r="Q53" s="2023"/>
      <c r="R53" s="2023"/>
      <c r="S53" s="2023"/>
      <c r="T53" s="2023"/>
      <c r="U53" s="2023"/>
      <c r="V53" s="2023"/>
      <c r="W53" s="2023"/>
      <c r="X53" s="2023"/>
      <c r="Y53" s="2023"/>
      <c r="Z53" s="2023"/>
      <c r="AA53" s="2023"/>
      <c r="AB53" s="2023"/>
      <c r="AC53" s="2023"/>
    </row>
    <row r="54" spans="1:29">
      <c r="A54" s="279"/>
      <c r="B54" s="279"/>
      <c r="C54" s="279"/>
      <c r="D54" s="279"/>
      <c r="E54" s="279"/>
      <c r="F54" s="279"/>
      <c r="G54" s="279"/>
      <c r="H54" s="279"/>
      <c r="I54" s="279"/>
      <c r="J54" s="279"/>
      <c r="K54" s="279"/>
      <c r="L54" s="279"/>
      <c r="M54" s="279"/>
      <c r="N54" s="279"/>
      <c r="O54" s="279"/>
      <c r="P54" s="279"/>
      <c r="Q54" s="279"/>
      <c r="R54" s="279"/>
    </row>
    <row r="55" spans="1:29">
      <c r="A55" s="279"/>
      <c r="B55" s="279"/>
      <c r="C55" s="279"/>
      <c r="D55" s="279"/>
      <c r="E55" s="279"/>
      <c r="F55" s="279"/>
      <c r="G55" s="279"/>
      <c r="H55" s="279"/>
      <c r="I55" s="279"/>
      <c r="J55" s="279"/>
      <c r="K55" s="279"/>
      <c r="L55" s="279"/>
      <c r="M55" s="279"/>
      <c r="N55" s="279"/>
      <c r="O55" s="279"/>
      <c r="P55" s="279"/>
      <c r="Q55" s="279"/>
      <c r="R55" s="279"/>
    </row>
    <row r="56" spans="1:29">
      <c r="A56" s="279"/>
      <c r="B56" s="279"/>
      <c r="C56" s="279"/>
      <c r="D56" s="279"/>
      <c r="E56" s="279"/>
      <c r="F56" s="279"/>
      <c r="G56" s="279"/>
      <c r="H56" s="279"/>
      <c r="I56" s="279"/>
      <c r="J56" s="279"/>
      <c r="K56" s="279"/>
      <c r="L56" s="279"/>
      <c r="M56" s="279"/>
      <c r="N56" s="279"/>
      <c r="O56" s="279"/>
      <c r="P56" s="279"/>
      <c r="Q56" s="279"/>
      <c r="R56" s="279"/>
    </row>
    <row r="57" spans="1:29">
      <c r="A57" s="279"/>
      <c r="B57" s="279"/>
      <c r="C57" s="279"/>
      <c r="D57" s="279"/>
      <c r="E57" s="279"/>
      <c r="F57" s="279"/>
      <c r="G57" s="279"/>
      <c r="H57" s="279"/>
      <c r="I57" s="279"/>
      <c r="J57" s="279"/>
      <c r="K57" s="279"/>
      <c r="L57" s="279"/>
      <c r="M57" s="279"/>
      <c r="N57" s="279"/>
      <c r="O57" s="279"/>
      <c r="P57" s="279"/>
      <c r="Q57" s="279"/>
      <c r="R57" s="279"/>
    </row>
    <row r="58" spans="1:29">
      <c r="A58" s="279"/>
      <c r="B58" s="279"/>
      <c r="C58" s="279"/>
      <c r="D58" s="279"/>
      <c r="E58" s="279"/>
      <c r="F58" s="279"/>
      <c r="G58" s="279"/>
      <c r="H58" s="279"/>
      <c r="I58" s="279"/>
      <c r="J58" s="279"/>
      <c r="K58" s="279"/>
      <c r="L58" s="279"/>
      <c r="M58" s="279"/>
      <c r="N58" s="279"/>
      <c r="O58" s="279"/>
      <c r="P58" s="279"/>
      <c r="Q58" s="279"/>
      <c r="R58" s="279"/>
    </row>
    <row r="59" spans="1:29">
      <c r="A59" s="279"/>
      <c r="B59" s="279"/>
      <c r="C59" s="279"/>
      <c r="D59" s="279"/>
      <c r="E59" s="279"/>
      <c r="F59" s="279"/>
      <c r="G59" s="279"/>
      <c r="H59" s="279"/>
      <c r="I59" s="279"/>
      <c r="J59" s="279"/>
      <c r="K59" s="279"/>
      <c r="L59" s="279"/>
      <c r="M59" s="279"/>
      <c r="N59" s="279"/>
      <c r="O59" s="279"/>
      <c r="P59" s="279"/>
      <c r="Q59" s="279"/>
      <c r="R59" s="279"/>
    </row>
    <row r="60" spans="1:29">
      <c r="A60" s="279"/>
      <c r="B60" s="279"/>
      <c r="C60" s="279"/>
      <c r="D60" s="279"/>
      <c r="E60" s="279"/>
      <c r="F60" s="279"/>
      <c r="G60" s="279"/>
      <c r="H60" s="279"/>
      <c r="I60" s="279"/>
      <c r="J60" s="279"/>
      <c r="K60" s="279"/>
      <c r="L60" s="279"/>
      <c r="M60" s="279"/>
      <c r="N60" s="279"/>
      <c r="O60" s="279"/>
      <c r="P60" s="279"/>
      <c r="Q60" s="279"/>
      <c r="R60" s="279"/>
    </row>
    <row r="61" spans="1:29">
      <c r="A61" s="279"/>
      <c r="B61" s="279"/>
      <c r="C61" s="279"/>
      <c r="D61" s="279"/>
      <c r="E61" s="279"/>
      <c r="F61" s="279"/>
      <c r="G61" s="279"/>
      <c r="H61" s="279"/>
      <c r="I61" s="279"/>
      <c r="J61" s="279"/>
      <c r="K61" s="279"/>
      <c r="L61" s="279"/>
      <c r="M61" s="279"/>
      <c r="N61" s="279"/>
      <c r="O61" s="279"/>
      <c r="P61" s="279"/>
      <c r="Q61" s="279"/>
      <c r="R61" s="279"/>
    </row>
    <row r="62" spans="1:29">
      <c r="A62" s="279"/>
      <c r="B62" s="279"/>
      <c r="C62" s="279"/>
      <c r="D62" s="279"/>
      <c r="E62" s="279"/>
      <c r="F62" s="279"/>
      <c r="G62" s="279"/>
      <c r="H62" s="279"/>
      <c r="I62" s="279"/>
      <c r="J62" s="279"/>
      <c r="K62" s="279"/>
      <c r="L62" s="279"/>
      <c r="M62" s="279"/>
      <c r="N62" s="279"/>
      <c r="O62" s="279"/>
      <c r="P62" s="279"/>
      <c r="Q62" s="279"/>
      <c r="R62" s="279"/>
    </row>
    <row r="63" spans="1:29">
      <c r="A63" s="279"/>
      <c r="B63" s="279"/>
      <c r="C63" s="279"/>
      <c r="D63" s="279"/>
      <c r="E63" s="279"/>
      <c r="F63" s="279"/>
      <c r="G63" s="279"/>
      <c r="H63" s="279"/>
      <c r="I63" s="279"/>
      <c r="J63" s="279"/>
      <c r="K63" s="279"/>
      <c r="L63" s="279"/>
      <c r="M63" s="279"/>
      <c r="N63" s="279"/>
      <c r="O63" s="279"/>
      <c r="P63" s="279"/>
      <c r="Q63" s="279"/>
      <c r="R63" s="279"/>
    </row>
    <row r="64" spans="1:29">
      <c r="A64" s="279"/>
      <c r="B64" s="279"/>
      <c r="C64" s="279"/>
      <c r="D64" s="279"/>
      <c r="E64" s="279"/>
      <c r="F64" s="279"/>
      <c r="G64" s="279"/>
      <c r="H64" s="279"/>
      <c r="I64" s="279"/>
      <c r="J64" s="279"/>
      <c r="K64" s="279"/>
      <c r="L64" s="279"/>
      <c r="M64" s="279"/>
      <c r="N64" s="279"/>
      <c r="O64" s="279"/>
      <c r="P64" s="279"/>
      <c r="Q64" s="279"/>
      <c r="R64" s="279"/>
    </row>
    <row r="65" spans="1:18">
      <c r="A65" s="279"/>
      <c r="B65" s="279"/>
      <c r="C65" s="279"/>
      <c r="D65" s="279"/>
      <c r="E65" s="279"/>
      <c r="F65" s="279"/>
      <c r="G65" s="279"/>
      <c r="H65" s="279"/>
      <c r="I65" s="279"/>
      <c r="J65" s="279"/>
      <c r="K65" s="279"/>
      <c r="L65" s="279"/>
      <c r="M65" s="279"/>
      <c r="N65" s="279"/>
      <c r="O65" s="279"/>
      <c r="P65" s="279"/>
      <c r="Q65" s="279"/>
      <c r="R65" s="279"/>
    </row>
    <row r="66" spans="1:18">
      <c r="A66" s="279"/>
      <c r="B66" s="279"/>
      <c r="C66" s="279"/>
      <c r="D66" s="279"/>
      <c r="E66" s="279"/>
      <c r="F66" s="279"/>
      <c r="G66" s="279"/>
      <c r="H66" s="279"/>
      <c r="I66" s="279"/>
      <c r="J66" s="279"/>
      <c r="K66" s="279"/>
      <c r="L66" s="279"/>
      <c r="M66" s="279"/>
      <c r="N66" s="279"/>
      <c r="O66" s="279"/>
      <c r="P66" s="279"/>
      <c r="Q66" s="279"/>
      <c r="R66" s="279"/>
    </row>
    <row r="67" spans="1:18">
      <c r="A67" s="279"/>
      <c r="B67" s="279"/>
      <c r="C67" s="279"/>
      <c r="D67" s="279"/>
      <c r="E67" s="279"/>
      <c r="F67" s="279"/>
      <c r="G67" s="279"/>
      <c r="H67" s="279"/>
      <c r="I67" s="279"/>
      <c r="J67" s="279"/>
      <c r="K67" s="279"/>
      <c r="L67" s="279"/>
      <c r="M67" s="279"/>
      <c r="N67" s="279"/>
      <c r="O67" s="279"/>
      <c r="P67" s="279"/>
      <c r="Q67" s="279"/>
      <c r="R67" s="279"/>
    </row>
    <row r="68" spans="1:18">
      <c r="A68" s="279"/>
      <c r="B68" s="279"/>
      <c r="C68" s="279"/>
      <c r="D68" s="279"/>
      <c r="E68" s="279"/>
      <c r="F68" s="279"/>
      <c r="G68" s="279"/>
      <c r="H68" s="279"/>
      <c r="I68" s="279"/>
      <c r="J68" s="279"/>
      <c r="K68" s="279"/>
      <c r="L68" s="279"/>
      <c r="M68" s="279"/>
      <c r="N68" s="279"/>
      <c r="O68" s="279"/>
      <c r="P68" s="279"/>
      <c r="Q68" s="279"/>
      <c r="R68" s="279"/>
    </row>
    <row r="69" spans="1:18">
      <c r="A69" s="279"/>
      <c r="B69" s="279"/>
      <c r="C69" s="279"/>
      <c r="D69" s="279"/>
      <c r="E69" s="279"/>
      <c r="F69" s="279"/>
      <c r="G69" s="279"/>
      <c r="H69" s="279"/>
      <c r="I69" s="279"/>
      <c r="J69" s="279"/>
      <c r="K69" s="279"/>
      <c r="L69" s="279"/>
      <c r="M69" s="279"/>
      <c r="N69" s="279"/>
      <c r="O69" s="279"/>
      <c r="P69" s="279"/>
      <c r="Q69" s="279"/>
      <c r="R69" s="279"/>
    </row>
    <row r="70" spans="1:18">
      <c r="A70" s="279"/>
      <c r="B70" s="279"/>
      <c r="C70" s="279"/>
      <c r="D70" s="279"/>
      <c r="E70" s="279"/>
      <c r="F70" s="279"/>
      <c r="G70" s="279"/>
      <c r="H70" s="279"/>
      <c r="I70" s="279"/>
      <c r="J70" s="279"/>
      <c r="K70" s="279"/>
      <c r="L70" s="279"/>
      <c r="M70" s="279"/>
      <c r="N70" s="279"/>
      <c r="O70" s="279"/>
      <c r="P70" s="279"/>
      <c r="Q70" s="279"/>
      <c r="R70" s="279"/>
    </row>
    <row r="71" spans="1:18">
      <c r="A71" s="279"/>
      <c r="B71" s="279"/>
      <c r="C71" s="279"/>
      <c r="D71" s="279"/>
      <c r="E71" s="279"/>
      <c r="F71" s="279"/>
      <c r="G71" s="279"/>
      <c r="H71" s="279"/>
      <c r="I71" s="279"/>
      <c r="J71" s="279"/>
      <c r="K71" s="279"/>
      <c r="L71" s="279"/>
      <c r="M71" s="279"/>
      <c r="N71" s="279"/>
      <c r="O71" s="279"/>
      <c r="P71" s="279"/>
      <c r="Q71" s="279"/>
      <c r="R71" s="279"/>
    </row>
    <row r="72" spans="1:18">
      <c r="A72" s="279"/>
      <c r="B72" s="279"/>
      <c r="C72" s="279"/>
      <c r="D72" s="279"/>
      <c r="E72" s="279"/>
      <c r="F72" s="279"/>
      <c r="G72" s="279"/>
      <c r="H72" s="279"/>
      <c r="I72" s="279"/>
      <c r="J72" s="279"/>
      <c r="K72" s="279"/>
      <c r="L72" s="279"/>
      <c r="M72" s="279"/>
      <c r="N72" s="279"/>
      <c r="O72" s="279"/>
      <c r="P72" s="279"/>
      <c r="Q72" s="279"/>
      <c r="R72" s="279"/>
    </row>
    <row r="73" spans="1:18">
      <c r="A73" s="279"/>
      <c r="B73" s="279"/>
      <c r="C73" s="279"/>
      <c r="D73" s="279"/>
      <c r="E73" s="279"/>
      <c r="F73" s="279"/>
      <c r="G73" s="279"/>
      <c r="H73" s="279"/>
      <c r="I73" s="279"/>
      <c r="J73" s="279"/>
      <c r="K73" s="279"/>
      <c r="L73" s="279"/>
      <c r="M73" s="279"/>
      <c r="N73" s="279"/>
      <c r="O73" s="279"/>
      <c r="P73" s="279"/>
      <c r="Q73" s="279"/>
      <c r="R73" s="279"/>
    </row>
    <row r="74" spans="1:18">
      <c r="A74" s="279"/>
      <c r="B74" s="279"/>
      <c r="C74" s="279"/>
      <c r="D74" s="279"/>
      <c r="E74" s="279"/>
      <c r="F74" s="279"/>
      <c r="G74" s="279"/>
      <c r="H74" s="279"/>
      <c r="I74" s="279"/>
      <c r="J74" s="279"/>
      <c r="K74" s="279"/>
      <c r="L74" s="279"/>
      <c r="M74" s="279"/>
      <c r="N74" s="279"/>
      <c r="O74" s="279"/>
      <c r="P74" s="279"/>
      <c r="Q74" s="279"/>
      <c r="R74" s="279"/>
    </row>
    <row r="75" spans="1:18">
      <c r="A75" s="279"/>
      <c r="B75" s="279"/>
      <c r="C75" s="279"/>
      <c r="D75" s="279"/>
      <c r="E75" s="279"/>
      <c r="F75" s="279"/>
      <c r="G75" s="279"/>
      <c r="H75" s="279"/>
      <c r="I75" s="279"/>
      <c r="J75" s="279"/>
      <c r="K75" s="279"/>
      <c r="L75" s="279"/>
      <c r="M75" s="279"/>
      <c r="N75" s="279"/>
      <c r="O75" s="279"/>
      <c r="P75" s="279"/>
      <c r="Q75" s="279"/>
      <c r="R75" s="279"/>
    </row>
    <row r="76" spans="1:18">
      <c r="A76" s="279"/>
      <c r="B76" s="279"/>
      <c r="C76" s="279"/>
      <c r="D76" s="279"/>
      <c r="E76" s="279"/>
      <c r="F76" s="279"/>
      <c r="G76" s="279"/>
      <c r="H76" s="279"/>
      <c r="I76" s="279"/>
      <c r="J76" s="279"/>
      <c r="K76" s="279"/>
      <c r="L76" s="279"/>
      <c r="M76" s="279"/>
      <c r="N76" s="279"/>
      <c r="O76" s="279"/>
      <c r="P76" s="279"/>
      <c r="Q76" s="279"/>
      <c r="R76" s="279"/>
    </row>
    <row r="77" spans="1:18">
      <c r="A77" s="279"/>
      <c r="B77" s="279"/>
      <c r="C77" s="279"/>
      <c r="D77" s="279"/>
      <c r="E77" s="279"/>
      <c r="F77" s="279"/>
      <c r="G77" s="279"/>
      <c r="H77" s="279"/>
      <c r="I77" s="279"/>
      <c r="J77" s="279"/>
      <c r="K77" s="279"/>
      <c r="L77" s="279"/>
      <c r="M77" s="279"/>
      <c r="N77" s="279"/>
      <c r="O77" s="279"/>
      <c r="P77" s="279"/>
      <c r="Q77" s="279"/>
      <c r="R77" s="279"/>
    </row>
    <row r="78" spans="1:18">
      <c r="A78" s="279"/>
      <c r="B78" s="279"/>
      <c r="C78" s="279"/>
      <c r="D78" s="279"/>
      <c r="E78" s="279"/>
      <c r="F78" s="279"/>
      <c r="G78" s="279"/>
      <c r="H78" s="279"/>
      <c r="I78" s="279"/>
      <c r="J78" s="279"/>
      <c r="K78" s="279"/>
      <c r="L78" s="279"/>
      <c r="M78" s="279"/>
      <c r="N78" s="279"/>
      <c r="O78" s="279"/>
      <c r="P78" s="279"/>
      <c r="Q78" s="279"/>
      <c r="R78" s="279"/>
    </row>
    <row r="79" spans="1:18">
      <c r="A79" s="279"/>
      <c r="B79" s="279"/>
      <c r="C79" s="279"/>
      <c r="D79" s="279"/>
      <c r="E79" s="279"/>
      <c r="F79" s="279"/>
      <c r="G79" s="279"/>
      <c r="H79" s="279"/>
      <c r="I79" s="279"/>
      <c r="J79" s="279"/>
      <c r="K79" s="279"/>
      <c r="L79" s="279"/>
      <c r="M79" s="279"/>
      <c r="N79" s="279"/>
      <c r="O79" s="279"/>
      <c r="P79" s="279"/>
      <c r="Q79" s="279"/>
      <c r="R79" s="279"/>
    </row>
    <row r="80" spans="1:18">
      <c r="A80" s="279"/>
      <c r="B80" s="279"/>
      <c r="C80" s="279"/>
      <c r="D80" s="279"/>
      <c r="E80" s="279"/>
      <c r="F80" s="279"/>
      <c r="G80" s="279"/>
      <c r="H80" s="279"/>
      <c r="I80" s="279"/>
      <c r="J80" s="279"/>
      <c r="K80" s="279"/>
      <c r="L80" s="279"/>
      <c r="M80" s="279"/>
      <c r="N80" s="279"/>
      <c r="O80" s="279"/>
      <c r="P80" s="279"/>
      <c r="Q80" s="279"/>
      <c r="R80" s="279"/>
    </row>
    <row r="81" spans="1:18">
      <c r="A81" s="279"/>
      <c r="B81" s="279"/>
      <c r="C81" s="279"/>
      <c r="D81" s="279"/>
      <c r="E81" s="279"/>
      <c r="F81" s="279"/>
      <c r="G81" s="279"/>
      <c r="H81" s="279"/>
      <c r="I81" s="279"/>
      <c r="J81" s="279"/>
      <c r="K81" s="279"/>
      <c r="L81" s="279"/>
      <c r="M81" s="279"/>
      <c r="N81" s="279"/>
      <c r="O81" s="279"/>
      <c r="P81" s="279"/>
      <c r="Q81" s="279"/>
      <c r="R81" s="279"/>
    </row>
    <row r="82" spans="1:18">
      <c r="A82" s="279"/>
      <c r="B82" s="279"/>
      <c r="C82" s="279"/>
      <c r="D82" s="279"/>
      <c r="E82" s="279"/>
      <c r="F82" s="279"/>
      <c r="G82" s="279"/>
      <c r="H82" s="279"/>
      <c r="I82" s="279"/>
      <c r="J82" s="279"/>
      <c r="K82" s="279"/>
      <c r="L82" s="279"/>
      <c r="M82" s="279"/>
      <c r="N82" s="279"/>
      <c r="O82" s="279"/>
      <c r="P82" s="279"/>
      <c r="Q82" s="279"/>
      <c r="R82" s="279"/>
    </row>
    <row r="83" spans="1:18">
      <c r="A83" s="279"/>
      <c r="B83" s="279"/>
      <c r="C83" s="279"/>
      <c r="D83" s="279"/>
      <c r="E83" s="279"/>
      <c r="F83" s="279"/>
      <c r="G83" s="279"/>
      <c r="H83" s="279"/>
      <c r="I83" s="279"/>
      <c r="J83" s="279"/>
      <c r="K83" s="279"/>
      <c r="L83" s="279"/>
      <c r="M83" s="279"/>
      <c r="N83" s="279"/>
      <c r="O83" s="279"/>
      <c r="P83" s="279"/>
      <c r="Q83" s="279"/>
      <c r="R83" s="279"/>
    </row>
    <row r="84" spans="1:18">
      <c r="A84" s="279"/>
      <c r="B84" s="279"/>
      <c r="C84" s="279"/>
      <c r="D84" s="279"/>
      <c r="E84" s="279"/>
      <c r="F84" s="279"/>
      <c r="G84" s="279"/>
      <c r="H84" s="279"/>
      <c r="I84" s="279"/>
      <c r="J84" s="279"/>
      <c r="K84" s="279"/>
      <c r="L84" s="279"/>
      <c r="M84" s="279"/>
      <c r="N84" s="279"/>
      <c r="O84" s="279"/>
      <c r="P84" s="279"/>
      <c r="Q84" s="279"/>
      <c r="R84" s="279"/>
    </row>
    <row r="85" spans="1:18">
      <c r="A85" s="279"/>
      <c r="B85" s="279"/>
      <c r="C85" s="279"/>
      <c r="D85" s="279"/>
      <c r="E85" s="279"/>
      <c r="F85" s="279"/>
      <c r="G85" s="279"/>
      <c r="H85" s="279"/>
      <c r="I85" s="279"/>
      <c r="J85" s="279"/>
      <c r="K85" s="279"/>
      <c r="L85" s="279"/>
      <c r="M85" s="279"/>
      <c r="N85" s="279"/>
      <c r="O85" s="279"/>
      <c r="P85" s="279"/>
      <c r="Q85" s="279"/>
      <c r="R85" s="279"/>
    </row>
    <row r="86" spans="1:18">
      <c r="A86" s="279"/>
      <c r="B86" s="279"/>
      <c r="C86" s="279"/>
      <c r="D86" s="279"/>
      <c r="E86" s="279"/>
      <c r="F86" s="279"/>
      <c r="G86" s="279"/>
      <c r="H86" s="279"/>
      <c r="I86" s="279"/>
      <c r="J86" s="279"/>
      <c r="K86" s="279"/>
      <c r="L86" s="279"/>
      <c r="M86" s="279"/>
      <c r="N86" s="279"/>
      <c r="O86" s="279"/>
      <c r="P86" s="279"/>
      <c r="Q86" s="279"/>
      <c r="R86" s="279"/>
    </row>
    <row r="87" spans="1:18">
      <c r="A87" s="279"/>
      <c r="B87" s="279"/>
      <c r="C87" s="279"/>
      <c r="D87" s="279"/>
      <c r="E87" s="279"/>
      <c r="F87" s="279"/>
      <c r="G87" s="279"/>
      <c r="H87" s="279"/>
      <c r="I87" s="279"/>
      <c r="J87" s="279"/>
      <c r="K87" s="279"/>
      <c r="L87" s="279"/>
      <c r="M87" s="279"/>
      <c r="N87" s="279"/>
      <c r="O87" s="279"/>
      <c r="P87" s="279"/>
      <c r="Q87" s="279"/>
      <c r="R87" s="279"/>
    </row>
    <row r="88" spans="1:18">
      <c r="A88" s="279"/>
      <c r="B88" s="279"/>
      <c r="C88" s="279"/>
      <c r="D88" s="279"/>
      <c r="E88" s="279"/>
      <c r="F88" s="279"/>
      <c r="G88" s="279"/>
      <c r="H88" s="279"/>
      <c r="I88" s="279"/>
      <c r="J88" s="279"/>
      <c r="K88" s="279"/>
      <c r="L88" s="279"/>
      <c r="M88" s="279"/>
      <c r="N88" s="279"/>
      <c r="O88" s="279"/>
      <c r="P88" s="279"/>
      <c r="Q88" s="279"/>
      <c r="R88" s="279"/>
    </row>
    <row r="89" spans="1:18">
      <c r="A89" s="279"/>
      <c r="B89" s="279"/>
      <c r="C89" s="279"/>
      <c r="D89" s="279"/>
      <c r="E89" s="279"/>
      <c r="F89" s="279"/>
      <c r="G89" s="279"/>
      <c r="H89" s="279"/>
      <c r="I89" s="279"/>
      <c r="J89" s="279"/>
      <c r="K89" s="279"/>
      <c r="L89" s="279"/>
      <c r="M89" s="279"/>
      <c r="N89" s="279"/>
      <c r="O89" s="279"/>
      <c r="P89" s="279"/>
      <c r="Q89" s="279"/>
      <c r="R89" s="279"/>
    </row>
    <row r="90" spans="1:18">
      <c r="A90" s="279"/>
      <c r="B90" s="279"/>
      <c r="C90" s="279"/>
      <c r="D90" s="279"/>
      <c r="E90" s="279"/>
      <c r="F90" s="279"/>
      <c r="G90" s="279"/>
      <c r="H90" s="279"/>
      <c r="I90" s="279"/>
      <c r="J90" s="279"/>
      <c r="K90" s="279"/>
      <c r="L90" s="279"/>
      <c r="M90" s="279"/>
      <c r="N90" s="279"/>
      <c r="O90" s="279"/>
      <c r="P90" s="279"/>
      <c r="Q90" s="279"/>
      <c r="R90" s="279"/>
    </row>
    <row r="91" spans="1:18">
      <c r="A91" s="279"/>
      <c r="B91" s="279"/>
      <c r="C91" s="279"/>
      <c r="D91" s="279"/>
      <c r="E91" s="279"/>
      <c r="F91" s="279"/>
      <c r="G91" s="279"/>
      <c r="H91" s="279"/>
      <c r="I91" s="279"/>
      <c r="J91" s="279"/>
      <c r="K91" s="279"/>
      <c r="L91" s="279"/>
      <c r="M91" s="279"/>
      <c r="N91" s="279"/>
      <c r="O91" s="279"/>
      <c r="P91" s="279"/>
      <c r="Q91" s="279"/>
      <c r="R91" s="279"/>
    </row>
    <row r="92" spans="1:18">
      <c r="A92" s="279"/>
      <c r="B92" s="279"/>
      <c r="C92" s="279"/>
      <c r="D92" s="279"/>
      <c r="E92" s="279"/>
      <c r="F92" s="279"/>
      <c r="G92" s="279"/>
      <c r="H92" s="279"/>
      <c r="I92" s="279"/>
      <c r="J92" s="279"/>
      <c r="K92" s="279"/>
      <c r="L92" s="279"/>
      <c r="M92" s="279"/>
      <c r="N92" s="279"/>
      <c r="O92" s="279"/>
      <c r="P92" s="279"/>
      <c r="Q92" s="279"/>
      <c r="R92" s="279"/>
    </row>
    <row r="93" spans="1:18">
      <c r="A93" s="279"/>
      <c r="B93" s="279"/>
      <c r="C93" s="279"/>
      <c r="D93" s="279"/>
      <c r="E93" s="279"/>
      <c r="F93" s="279"/>
      <c r="G93" s="279"/>
      <c r="H93" s="279"/>
      <c r="I93" s="279"/>
      <c r="J93" s="279"/>
      <c r="K93" s="279"/>
      <c r="L93" s="279"/>
      <c r="M93" s="279"/>
      <c r="N93" s="279"/>
      <c r="O93" s="279"/>
      <c r="P93" s="279"/>
      <c r="Q93" s="279"/>
      <c r="R93" s="279"/>
    </row>
    <row r="94" spans="1:18">
      <c r="A94" s="279"/>
      <c r="B94" s="279"/>
      <c r="C94" s="279"/>
      <c r="D94" s="279"/>
      <c r="E94" s="279"/>
      <c r="F94" s="279"/>
      <c r="G94" s="279"/>
      <c r="H94" s="279"/>
      <c r="I94" s="279"/>
      <c r="J94" s="279"/>
      <c r="K94" s="279"/>
      <c r="L94" s="279"/>
      <c r="M94" s="279"/>
      <c r="N94" s="279"/>
      <c r="O94" s="279"/>
      <c r="P94" s="279"/>
      <c r="Q94" s="279"/>
      <c r="R94" s="279"/>
    </row>
  </sheetData>
  <mergeCells count="17">
    <mergeCell ref="B20:K20"/>
    <mergeCell ref="M21:AC21"/>
    <mergeCell ref="Q22:AC22"/>
    <mergeCell ref="B53:K53"/>
    <mergeCell ref="M53:AC53"/>
    <mergeCell ref="A5:K5"/>
    <mergeCell ref="M5:Y5"/>
    <mergeCell ref="B9:K9"/>
    <mergeCell ref="M9:AC9"/>
    <mergeCell ref="G11:G12"/>
    <mergeCell ref="Q11:AC11"/>
    <mergeCell ref="A2:K2"/>
    <mergeCell ref="M2:Y2"/>
    <mergeCell ref="A3:K3"/>
    <mergeCell ref="M3:Y3"/>
    <mergeCell ref="A4:K4"/>
    <mergeCell ref="M4:Y4"/>
  </mergeCells>
  <printOptions horizontalCentered="1"/>
  <pageMargins left="0.25" right="0.25" top="1" bottom="0.25" header="0.25" footer="0"/>
  <pageSetup scale="45" fitToWidth="2" orientation="landscape" horizontalDpi="1200" verticalDpi="1200" r:id="rId1"/>
  <headerFooter alignWithMargins="0">
    <oddHeader xml:space="preserve">&amp;R&amp;14AEP - SPP Transco Formula Rate
TCOS - WS D
Page: &amp;P of &amp;N&amp;18
</oddHeader>
    <oddFooter xml:space="preserve">&amp;R &amp;C </oddFooter>
  </headerFooter>
  <colBreaks count="1" manualBreakCount="1">
    <brk id="11" max="52"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2"/>
  <sheetViews>
    <sheetView zoomScale="81" zoomScaleNormal="81" zoomScaleSheetLayoutView="100" workbookViewId="0">
      <selection activeCell="B10" sqref="B10"/>
    </sheetView>
  </sheetViews>
  <sheetFormatPr defaultColWidth="8.81640625" defaultRowHeight="12.5"/>
  <cols>
    <col min="1" max="1" width="9.1796875" style="328" customWidth="1"/>
    <col min="2" max="2" width="65.1796875" style="279" bestFit="1" customWidth="1"/>
    <col min="3" max="3" width="16.453125" style="279" bestFit="1" customWidth="1"/>
    <col min="4" max="4" width="1.54296875" style="279" customWidth="1"/>
    <col min="5" max="5" width="15" style="279" bestFit="1" customWidth="1"/>
    <col min="6" max="7" width="8.81640625" style="279"/>
    <col min="8" max="8" width="10.81640625" style="279" bestFit="1" customWidth="1"/>
    <col min="9" max="16384" width="8.81640625" style="279"/>
  </cols>
  <sheetData>
    <row r="1" spans="1:15" ht="15.5">
      <c r="A1" s="551"/>
    </row>
    <row r="2" spans="1:15" ht="15.5">
      <c r="A2" s="1996" t="str">
        <f>+'SWT TCOS'!F4</f>
        <v xml:space="preserve">AEP West SPP Member Transmission Companies </v>
      </c>
      <c r="B2" s="1996"/>
      <c r="C2" s="1996"/>
      <c r="D2" s="1996"/>
      <c r="E2" s="1996"/>
      <c r="F2" s="670"/>
      <c r="G2" s="670"/>
      <c r="H2" s="670"/>
      <c r="I2" s="670"/>
      <c r="J2" s="670"/>
      <c r="K2" s="670"/>
      <c r="L2" s="670"/>
      <c r="M2" s="670"/>
      <c r="N2" s="670"/>
      <c r="O2" s="670"/>
    </row>
    <row r="3" spans="1:15" ht="15.5">
      <c r="A3" s="2086" t="str">
        <f>+'SWT WS A-1 - Plant'!A3</f>
        <v xml:space="preserve">Actual / Projected 2019 Rate Year Cost of Service Formula Rate </v>
      </c>
      <c r="B3" s="2086"/>
      <c r="C3" s="2086"/>
      <c r="D3" s="2086"/>
      <c r="E3" s="2086"/>
      <c r="F3" s="1557"/>
      <c r="G3" s="1557"/>
      <c r="H3" s="1557"/>
      <c r="I3" s="1557"/>
      <c r="J3" s="1557"/>
      <c r="K3" s="1557"/>
      <c r="L3" s="1557"/>
      <c r="M3" s="671"/>
      <c r="N3" s="671"/>
      <c r="O3" s="671"/>
    </row>
    <row r="4" spans="1:15" ht="15.5">
      <c r="A4" s="2087" t="s">
        <v>112</v>
      </c>
      <c r="B4" s="2086"/>
      <c r="C4" s="2086"/>
      <c r="D4" s="2086"/>
      <c r="E4" s="2086"/>
      <c r="F4" s="1557"/>
      <c r="G4" s="1557"/>
      <c r="H4" s="1557"/>
      <c r="I4" s="1557"/>
      <c r="J4" s="1557"/>
      <c r="K4" s="1557"/>
      <c r="L4" s="1557"/>
      <c r="M4" s="1557"/>
      <c r="N4" s="1557"/>
      <c r="O4" s="1557"/>
    </row>
    <row r="5" spans="1:15" ht="15.5">
      <c r="A5" s="2025" t="str">
        <f>+'SWT TCOS'!F8</f>
        <v>AEP SOUTHWESTERN TRANSMISSION COMPANY</v>
      </c>
      <c r="B5" s="2025"/>
      <c r="C5" s="2025"/>
      <c r="D5" s="2025"/>
      <c r="E5" s="2025"/>
      <c r="F5" s="111"/>
      <c r="G5" s="111"/>
      <c r="H5" s="111"/>
      <c r="I5" s="111"/>
      <c r="J5" s="111"/>
      <c r="K5" s="111"/>
      <c r="L5" s="111"/>
      <c r="M5" s="111"/>
      <c r="N5" s="111"/>
      <c r="O5" s="111"/>
    </row>
    <row r="7" spans="1:15" ht="13">
      <c r="A7" s="732" t="s">
        <v>307</v>
      </c>
      <c r="B7" s="557" t="s">
        <v>300</v>
      </c>
      <c r="C7" s="557" t="s">
        <v>301</v>
      </c>
    </row>
    <row r="8" spans="1:15" ht="13">
      <c r="A8" s="732" t="s">
        <v>245</v>
      </c>
      <c r="B8" s="732" t="s">
        <v>305</v>
      </c>
      <c r="C8" s="732">
        <f>+'SWT TCOS'!N2</f>
        <v>2019</v>
      </c>
    </row>
    <row r="9" spans="1:15" ht="13">
      <c r="B9" s="733"/>
      <c r="C9" s="557"/>
    </row>
    <row r="10" spans="1:15" ht="13">
      <c r="A10" s="328">
        <v>1</v>
      </c>
      <c r="B10" s="1527" t="str">
        <f>"Net Funds from IPP Customers @ 12/31/"&amp;C8-1&amp;" ("&amp;C8&amp;" FORM 1, P269, (B))"</f>
        <v>Net Funds from IPP Customers @ 12/31/2018 (2019 FORM 1, P269, (B))</v>
      </c>
      <c r="C10" s="575"/>
      <c r="D10" s="1514"/>
      <c r="E10" s="578"/>
    </row>
    <row r="11" spans="1:15">
      <c r="A11" s="328" t="s">
        <v>119</v>
      </c>
      <c r="B11" s="1527"/>
      <c r="C11" s="1514"/>
      <c r="D11" s="1514"/>
    </row>
    <row r="12" spans="1:15">
      <c r="A12" s="328">
        <v>2</v>
      </c>
      <c r="B12" s="1598" t="s">
        <v>590</v>
      </c>
      <c r="C12" s="575"/>
      <c r="D12" s="1514"/>
    </row>
    <row r="13" spans="1:15">
      <c r="B13" s="1527"/>
      <c r="C13" s="1514"/>
      <c r="D13" s="1514"/>
    </row>
    <row r="14" spans="1:15">
      <c r="A14" s="328">
        <f>+A12+1</f>
        <v>3</v>
      </c>
      <c r="B14" s="1598" t="s">
        <v>591</v>
      </c>
      <c r="C14" s="575"/>
      <c r="D14" s="1514"/>
    </row>
    <row r="15" spans="1:15">
      <c r="B15" s="1527"/>
      <c r="C15" s="1514"/>
      <c r="D15" s="1514"/>
    </row>
    <row r="16" spans="1:15">
      <c r="A16" s="328">
        <f>+A14+1</f>
        <v>4</v>
      </c>
      <c r="B16" s="735" t="s">
        <v>592</v>
      </c>
      <c r="C16" s="1514"/>
      <c r="D16" s="1514"/>
    </row>
    <row r="17" spans="1:8">
      <c r="A17" s="328">
        <f>+A16+1</f>
        <v>5</v>
      </c>
      <c r="B17" s="1527" t="s">
        <v>357</v>
      </c>
      <c r="C17" s="573"/>
      <c r="D17" s="1514"/>
      <c r="H17" s="1514"/>
    </row>
    <row r="18" spans="1:8">
      <c r="A18" s="328">
        <f>+A17+1</f>
        <v>6</v>
      </c>
      <c r="B18" s="1527" t="s">
        <v>253</v>
      </c>
      <c r="C18" s="573"/>
      <c r="D18" s="1514"/>
    </row>
    <row r="19" spans="1:8">
      <c r="B19" s="1527"/>
      <c r="C19" s="1599"/>
      <c r="D19" s="1514"/>
    </row>
    <row r="20" spans="1:8" ht="13">
      <c r="A20" s="328">
        <f>+A18+1</f>
        <v>7</v>
      </c>
      <c r="B20" s="1527" t="str">
        <f>" Net Funds from IPP Customers 12/31/"&amp;C8&amp;" ("&amp;C8&amp;" FORM 1, P269, (F))"</f>
        <v xml:space="preserve"> Net Funds from IPP Customers 12/31/2019 (2019 FORM 1, P269, (F))</v>
      </c>
      <c r="C20" s="1514">
        <f>+C10+C12+C14+C17+C18</f>
        <v>0</v>
      </c>
      <c r="D20" s="1377"/>
      <c r="E20" s="578"/>
    </row>
    <row r="21" spans="1:8">
      <c r="B21" s="1527"/>
      <c r="C21" s="1514"/>
      <c r="D21" s="1514"/>
    </row>
    <row r="22" spans="1:8">
      <c r="A22" s="328">
        <f>+A20+1</f>
        <v>8</v>
      </c>
      <c r="B22" s="1527" t="str">
        <f>"Average Balance for "&amp;C8&amp;" ((ln "&amp;A10&amp;" + ln "&amp;A20&amp;")/2)"</f>
        <v>Average Balance for 2019 ((ln 1 + ln 7)/2)</v>
      </c>
      <c r="C22" s="1600">
        <f>AVERAGE(C20,C10)</f>
        <v>0</v>
      </c>
      <c r="D22" s="1514"/>
    </row>
    <row r="23" spans="1:8">
      <c r="C23" s="1514"/>
      <c r="D23" s="1514"/>
    </row>
    <row r="24" spans="1:8">
      <c r="C24" s="1514"/>
      <c r="D24" s="1514"/>
    </row>
    <row r="31" spans="1:8">
      <c r="D31" s="1601"/>
    </row>
    <row r="37" spans="3:3">
      <c r="C37" s="1602"/>
    </row>
    <row r="54" spans="1:1">
      <c r="A54" s="279"/>
    </row>
    <row r="55" spans="1:1">
      <c r="A55" s="279"/>
    </row>
    <row r="56" spans="1:1">
      <c r="A56" s="279"/>
    </row>
    <row r="57" spans="1:1">
      <c r="A57" s="279"/>
    </row>
    <row r="58" spans="1:1">
      <c r="A58" s="279"/>
    </row>
    <row r="59" spans="1:1">
      <c r="A59" s="279"/>
    </row>
    <row r="60" spans="1:1">
      <c r="A60" s="279"/>
    </row>
    <row r="61" spans="1:1">
      <c r="A61" s="279"/>
    </row>
    <row r="62" spans="1:1">
      <c r="A62" s="279"/>
    </row>
    <row r="63" spans="1:1">
      <c r="A63" s="279"/>
    </row>
    <row r="64" spans="1:1">
      <c r="A64" s="279"/>
    </row>
    <row r="65" spans="1:1">
      <c r="A65" s="279"/>
    </row>
    <row r="66" spans="1:1">
      <c r="A66" s="279"/>
    </row>
    <row r="67" spans="1:1">
      <c r="A67" s="279"/>
    </row>
    <row r="68" spans="1:1">
      <c r="A68" s="279"/>
    </row>
    <row r="69" spans="1:1">
      <c r="A69" s="279"/>
    </row>
    <row r="70" spans="1:1">
      <c r="A70" s="279"/>
    </row>
    <row r="71" spans="1:1">
      <c r="A71" s="279"/>
    </row>
    <row r="72" spans="1:1">
      <c r="A72" s="279"/>
    </row>
    <row r="73" spans="1:1">
      <c r="A73" s="279"/>
    </row>
    <row r="74" spans="1:1">
      <c r="A74" s="279"/>
    </row>
    <row r="75" spans="1:1">
      <c r="A75" s="279"/>
    </row>
    <row r="76" spans="1:1">
      <c r="A76" s="279"/>
    </row>
    <row r="77" spans="1:1">
      <c r="A77" s="279"/>
    </row>
    <row r="78" spans="1:1">
      <c r="A78" s="279"/>
    </row>
    <row r="79" spans="1:1">
      <c r="A79" s="279"/>
    </row>
    <row r="80" spans="1:1">
      <c r="A80" s="279"/>
    </row>
    <row r="81" spans="1:1">
      <c r="A81" s="279"/>
    </row>
    <row r="82" spans="1:1">
      <c r="A82" s="279"/>
    </row>
    <row r="83" spans="1:1">
      <c r="A83" s="279"/>
    </row>
    <row r="84" spans="1:1">
      <c r="A84" s="279"/>
    </row>
    <row r="85" spans="1:1">
      <c r="A85" s="279"/>
    </row>
    <row r="86" spans="1:1">
      <c r="A86" s="279"/>
    </row>
    <row r="87" spans="1:1">
      <c r="A87" s="279"/>
    </row>
    <row r="88" spans="1:1">
      <c r="A88" s="279"/>
    </row>
    <row r="89" spans="1:1">
      <c r="A89" s="279"/>
    </row>
    <row r="90" spans="1:1">
      <c r="A90" s="279"/>
    </row>
    <row r="91" spans="1:1">
      <c r="A91" s="279"/>
    </row>
    <row r="92" spans="1:1">
      <c r="A92" s="279"/>
    </row>
    <row r="93" spans="1:1">
      <c r="A93" s="279"/>
    </row>
    <row r="94" spans="1:1">
      <c r="A94" s="279"/>
    </row>
    <row r="95" spans="1:1">
      <c r="A95" s="279"/>
    </row>
    <row r="96" spans="1:1">
      <c r="A96" s="279"/>
    </row>
    <row r="97" spans="1:1">
      <c r="A97" s="279"/>
    </row>
    <row r="98" spans="1:1">
      <c r="A98" s="279"/>
    </row>
    <row r="99" spans="1:1">
      <c r="A99" s="279"/>
    </row>
    <row r="100" spans="1:1">
      <c r="A100" s="279"/>
    </row>
    <row r="101" spans="1:1">
      <c r="A101" s="279"/>
    </row>
    <row r="102" spans="1:1">
      <c r="A102" s="279"/>
    </row>
  </sheetData>
  <mergeCells count="4">
    <mergeCell ref="A2:E2"/>
    <mergeCell ref="A3:E3"/>
    <mergeCell ref="A4:E4"/>
    <mergeCell ref="A5:E5"/>
  </mergeCells>
  <printOptions horizontalCentered="1"/>
  <pageMargins left="0.75" right="0.75" top="1" bottom="0.25" header="0.25" footer="0.5"/>
  <pageSetup scale="85" orientation="portrait" horizontalDpi="1200" verticalDpi="1200" r:id="rId1"/>
  <headerFooter alignWithMargins="0">
    <oddHeader xml:space="preserve">&amp;R&amp;11AEP - SPP Transco Formula Rate
TCOS - WS E
Page: &amp;P of &amp;N&amp;14
</oddHeader>
    <oddFooter xml:space="preserve">&amp;R &amp;C </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1"/>
  <sheetViews>
    <sheetView zoomScale="81" zoomScaleNormal="81" zoomScaleSheetLayoutView="90" zoomScalePageLayoutView="80" workbookViewId="0">
      <selection activeCell="H23" sqref="H23"/>
    </sheetView>
  </sheetViews>
  <sheetFormatPr defaultColWidth="8.81640625" defaultRowHeight="12.5"/>
  <cols>
    <col min="1" max="1" width="9.26953125" style="279" customWidth="1"/>
    <col min="2" max="2" width="6.7265625" style="279" customWidth="1"/>
    <col min="3" max="3" width="24.54296875" style="279" customWidth="1"/>
    <col min="4" max="4" width="17.7265625" style="328" customWidth="1"/>
    <col min="5" max="5" width="21.7265625" style="279" customWidth="1"/>
    <col min="6" max="8" width="17.7265625" style="279" customWidth="1"/>
    <col min="9" max="9" width="19.54296875" style="1377" customWidth="1"/>
    <col min="10" max="12" width="17.7265625" style="279" customWidth="1"/>
    <col min="13" max="13" width="20" style="279" customWidth="1"/>
    <col min="14" max="14" width="19.54296875" style="279" customWidth="1"/>
    <col min="15" max="15" width="19" style="272" customWidth="1"/>
    <col min="16" max="16" width="16.453125" style="272" customWidth="1"/>
    <col min="17" max="17" width="57.81640625" style="279" bestFit="1" customWidth="1"/>
    <col min="18" max="16384" width="8.81640625" style="279"/>
  </cols>
  <sheetData>
    <row r="1" spans="1:19" ht="15.5">
      <c r="A1" s="551"/>
    </row>
    <row r="2" spans="1:19" ht="17.5">
      <c r="A2" s="2089" t="str">
        <f>'SWT TCOS'!F4</f>
        <v xml:space="preserve">AEP West SPP Member Transmission Companies </v>
      </c>
      <c r="B2" s="2089"/>
      <c r="C2" s="2089"/>
      <c r="D2" s="2089"/>
      <c r="E2" s="2089"/>
      <c r="F2" s="2089"/>
      <c r="G2" s="2089"/>
      <c r="H2" s="2089"/>
      <c r="I2" s="2089"/>
    </row>
    <row r="3" spans="1:19" ht="17.5">
      <c r="A3" s="2089" t="str">
        <f>+'SWT WS A-1 - Plant'!A3</f>
        <v xml:space="preserve">Actual / Projected 2019 Rate Year Cost of Service Formula Rate </v>
      </c>
      <c r="B3" s="2089"/>
      <c r="C3" s="2089"/>
      <c r="D3" s="2089"/>
      <c r="E3" s="2089"/>
      <c r="F3" s="2089"/>
      <c r="G3" s="2089"/>
      <c r="H3" s="2089"/>
      <c r="I3" s="2089"/>
      <c r="P3" s="740"/>
    </row>
    <row r="4" spans="1:19" ht="18">
      <c r="A4" s="2089" t="s">
        <v>631</v>
      </c>
      <c r="B4" s="2089"/>
      <c r="C4" s="2089"/>
      <c r="D4" s="2089"/>
      <c r="E4" s="2089"/>
      <c r="F4" s="2089"/>
      <c r="G4" s="2089"/>
      <c r="H4" s="2089"/>
      <c r="I4" s="2089"/>
    </row>
    <row r="5" spans="1:19" ht="18">
      <c r="A5" s="2003" t="str">
        <f>+'SWT TCOS'!F8</f>
        <v>AEP SOUTHWESTERN TRANSMISSION COMPANY</v>
      </c>
      <c r="B5" s="2003"/>
      <c r="C5" s="2003"/>
      <c r="D5" s="2003"/>
      <c r="E5" s="2003"/>
      <c r="F5" s="2003"/>
      <c r="G5" s="2003"/>
      <c r="H5" s="2003"/>
      <c r="I5" s="2003"/>
      <c r="P5" s="279"/>
    </row>
    <row r="6" spans="1:19" ht="20">
      <c r="A6" s="508"/>
      <c r="C6" s="741"/>
      <c r="P6" s="740" t="s">
        <v>497</v>
      </c>
    </row>
    <row r="7" spans="1:19" ht="35.25" customHeight="1">
      <c r="A7" s="1603" t="s">
        <v>307</v>
      </c>
      <c r="B7" s="743" t="s">
        <v>309</v>
      </c>
      <c r="C7" s="2034" t="str">
        <f>"Calculate Return and Income Taxes with "&amp;F12&amp;" basis point ROE increase for Projects Qualified for Incentive."</f>
        <v>Calculate Return and Income Taxes with 0 basis point ROE increase for Projects Qualified for Incentive.</v>
      </c>
      <c r="D7" s="2090"/>
      <c r="E7" s="2090"/>
      <c r="F7" s="2090"/>
      <c r="G7" s="2090"/>
      <c r="H7" s="2090"/>
      <c r="I7" s="2090"/>
      <c r="J7" s="2091" t="s">
        <v>429</v>
      </c>
      <c r="K7" s="2091"/>
      <c r="L7" s="2091"/>
      <c r="M7" s="2091"/>
      <c r="N7" s="2091"/>
    </row>
    <row r="8" spans="1:19" ht="15.75" customHeight="1">
      <c r="A8" s="1603" t="s">
        <v>245</v>
      </c>
      <c r="C8" s="338"/>
      <c r="D8" s="338"/>
      <c r="E8" s="338"/>
      <c r="F8" s="338"/>
      <c r="G8" s="338"/>
      <c r="H8" s="338"/>
      <c r="I8" s="338"/>
      <c r="J8" s="2091"/>
      <c r="K8" s="2091"/>
      <c r="L8" s="2091"/>
      <c r="M8" s="2091"/>
      <c r="N8" s="2091"/>
      <c r="P8" s="279"/>
      <c r="Q8" s="279" t="s">
        <v>165</v>
      </c>
    </row>
    <row r="9" spans="1:19" ht="15.5">
      <c r="C9" s="745" t="str">
        <f>"A.   Determine 'R' with hypothetical "&amp;F12&amp;" basis point increase in ROE for Identified Projects"</f>
        <v>A.   Determine 'R' with hypothetical 0 basis point increase in ROE for Identified Projects</v>
      </c>
      <c r="J9" s="2091"/>
      <c r="K9" s="2091"/>
      <c r="L9" s="2091"/>
      <c r="M9" s="2091"/>
      <c r="N9" s="2091"/>
      <c r="P9" s="746" t="s">
        <v>159</v>
      </c>
      <c r="Q9" s="740" t="s">
        <v>89</v>
      </c>
    </row>
    <row r="10" spans="1:19" ht="18" customHeight="1" thickBot="1">
      <c r="J10" s="2091"/>
      <c r="K10" s="2091"/>
      <c r="L10" s="2091"/>
      <c r="M10" s="2091"/>
      <c r="N10" s="2091"/>
      <c r="P10" s="740" t="s">
        <v>436</v>
      </c>
    </row>
    <row r="11" spans="1:19" ht="13.5" thickBot="1">
      <c r="A11" s="328">
        <v>1</v>
      </c>
      <c r="C11" s="27" t="str">
        <f>"   ROE w/o incentives  (TCOS, ln "&amp;'SWT TCOS'!B237&amp;")"</f>
        <v xml:space="preserve">   ROE w/o incentives  (TCOS, ln 143)</v>
      </c>
      <c r="E11" s="1604"/>
      <c r="F11" s="1605">
        <f>+'SWT TCOS'!J237</f>
        <v>0.105</v>
      </c>
      <c r="G11" s="1605"/>
      <c r="H11" s="1606"/>
      <c r="I11" s="1607"/>
      <c r="J11" s="338"/>
      <c r="K11" s="338"/>
      <c r="L11" s="338"/>
      <c r="M11" s="338"/>
      <c r="N11" s="338"/>
      <c r="O11" s="1608"/>
      <c r="P11" s="1609" t="s">
        <v>478</v>
      </c>
      <c r="Q11" s="1610" t="s">
        <v>88</v>
      </c>
      <c r="R11" s="754"/>
    </row>
    <row r="12" spans="1:19" ht="18" customHeight="1">
      <c r="A12" s="328">
        <f>+A11+1</f>
        <v>2</v>
      </c>
      <c r="C12" s="27" t="s">
        <v>147</v>
      </c>
      <c r="E12" s="1604"/>
      <c r="F12" s="755">
        <v>0</v>
      </c>
      <c r="G12" s="1611" t="s">
        <v>337</v>
      </c>
      <c r="I12" s="279"/>
      <c r="J12" s="2028" t="s">
        <v>191</v>
      </c>
      <c r="K12" s="2029"/>
      <c r="L12" s="2029"/>
      <c r="M12" s="2029"/>
      <c r="N12" s="2030"/>
      <c r="O12" s="1608"/>
      <c r="P12" s="1612">
        <f>+K19</f>
        <v>2019</v>
      </c>
      <c r="Q12" s="1613" t="s">
        <v>51</v>
      </c>
      <c r="R12" s="754"/>
    </row>
    <row r="13" spans="1:19" ht="17.25" customHeight="1">
      <c r="A13" s="328">
        <f>+A12+1</f>
        <v>3</v>
      </c>
      <c r="C13" s="27" t="str">
        <f>"   ROE with additional "&amp;F12&amp;" basis point incentive"</f>
        <v xml:space="preserve">   ROE with additional 0 basis point incentive</v>
      </c>
      <c r="D13" s="1604"/>
      <c r="E13" s="1604"/>
      <c r="F13" s="1614">
        <f>IF((F11+(F12/10000)&gt;0.1245),"ERROR",F11+(F12/10000))</f>
        <v>0.105</v>
      </c>
      <c r="G13" s="760" t="s">
        <v>630</v>
      </c>
      <c r="I13" s="1615"/>
      <c r="J13" s="2031"/>
      <c r="K13" s="2032"/>
      <c r="L13" s="2032"/>
      <c r="M13" s="2032"/>
      <c r="N13" s="2033"/>
      <c r="O13" s="1608"/>
      <c r="P13" s="361">
        <f>+F11</f>
        <v>0.105</v>
      </c>
      <c r="Q13" s="279" t="str">
        <f>+C11</f>
        <v xml:space="preserve">   ROE w/o incentives  (TCOS, ln 143)</v>
      </c>
      <c r="R13" s="1616"/>
      <c r="S13" s="272"/>
    </row>
    <row r="14" spans="1:19" ht="16.5" customHeight="1">
      <c r="A14" s="328">
        <f t="shared" ref="A14:A73" si="0">+A13+1</f>
        <v>4</v>
      </c>
      <c r="C14" s="1617" t="str">
        <f>"   Determine R  (cost of long term debt, cost of preferred stock and percent is from TCOS, lns "&amp;'SWT TCOS'!B235&amp;" through "&amp;'SWT TCOS'!B237&amp;")"</f>
        <v xml:space="preserve">   Determine R  (cost of long term debt, cost of preferred stock and percent is from TCOS, lns 141 through 143)</v>
      </c>
      <c r="E14" s="1604"/>
      <c r="F14" s="1614"/>
      <c r="G14" s="1614"/>
      <c r="H14" s="1604"/>
      <c r="I14" s="1615"/>
      <c r="J14" s="2031"/>
      <c r="K14" s="2032"/>
      <c r="L14" s="2032"/>
      <c r="M14" s="2032"/>
      <c r="N14" s="2033"/>
      <c r="O14" s="1608"/>
      <c r="P14" s="1618">
        <f>+F12</f>
        <v>0</v>
      </c>
      <c r="Q14" s="1613" t="s">
        <v>147</v>
      </c>
      <c r="R14" s="1616"/>
      <c r="S14" s="272"/>
    </row>
    <row r="15" spans="1:19" ht="16.5" customHeight="1">
      <c r="A15" s="328">
        <f t="shared" si="0"/>
        <v>5</v>
      </c>
      <c r="C15" s="1608"/>
      <c r="D15" s="766" t="s">
        <v>284</v>
      </c>
      <c r="E15" s="766" t="s">
        <v>283</v>
      </c>
      <c r="F15" s="767" t="s">
        <v>369</v>
      </c>
      <c r="G15" s="767"/>
      <c r="H15" s="1604"/>
      <c r="I15" s="1615"/>
      <c r="J15" s="768"/>
      <c r="K15" s="769"/>
      <c r="L15" s="769"/>
      <c r="M15" s="769"/>
      <c r="N15" s="770"/>
      <c r="O15" s="1608"/>
      <c r="P15" s="1619">
        <f>+D16</f>
        <v>0</v>
      </c>
      <c r="Q15" s="1620" t="s">
        <v>439</v>
      </c>
      <c r="R15" s="1616"/>
      <c r="S15" s="272"/>
    </row>
    <row r="16" spans="1:19">
      <c r="A16" s="328">
        <f t="shared" si="0"/>
        <v>6</v>
      </c>
      <c r="C16" s="1621" t="s">
        <v>372</v>
      </c>
      <c r="D16" s="1622">
        <f>'SWT TCOS'!G235</f>
        <v>0</v>
      </c>
      <c r="E16" s="1623">
        <f>+'SWT TCOS'!J235</f>
        <v>0</v>
      </c>
      <c r="F16" s="1624">
        <f>E16*D16</f>
        <v>0</v>
      </c>
      <c r="G16" s="1625"/>
      <c r="H16" s="1604"/>
      <c r="I16" s="1615"/>
      <c r="J16" s="1626"/>
      <c r="K16" s="1627"/>
      <c r="L16" s="1627"/>
      <c r="M16" s="1627"/>
      <c r="N16" s="1628"/>
      <c r="O16" s="1629"/>
      <c r="P16" s="1619">
        <f>+E16</f>
        <v>0</v>
      </c>
      <c r="Q16" s="1620" t="s">
        <v>440</v>
      </c>
      <c r="R16" s="1616"/>
      <c r="S16" s="272"/>
    </row>
    <row r="17" spans="1:19">
      <c r="A17" s="328">
        <f t="shared" si="0"/>
        <v>7</v>
      </c>
      <c r="C17" s="1621" t="s">
        <v>373</v>
      </c>
      <c r="D17" s="1622">
        <f>'SWT TCOS'!G236</f>
        <v>0</v>
      </c>
      <c r="E17" s="1623">
        <f>+'SWT TCOS'!J236</f>
        <v>0</v>
      </c>
      <c r="F17" s="1624">
        <f>E17*D17</f>
        <v>0</v>
      </c>
      <c r="G17" s="1625"/>
      <c r="H17" s="1630"/>
      <c r="I17" s="1630"/>
      <c r="J17" s="1631"/>
      <c r="K17" s="7"/>
      <c r="L17" s="1608" t="s">
        <v>370</v>
      </c>
      <c r="M17" s="1608" t="s">
        <v>431</v>
      </c>
      <c r="N17" s="1632" t="s">
        <v>371</v>
      </c>
      <c r="O17" s="1633"/>
      <c r="P17" s="1619">
        <f>+D17</f>
        <v>0</v>
      </c>
      <c r="Q17" s="1620" t="s">
        <v>441</v>
      </c>
      <c r="R17" s="1616"/>
      <c r="S17" s="272"/>
    </row>
    <row r="18" spans="1:19">
      <c r="A18" s="328">
        <f t="shared" si="0"/>
        <v>8</v>
      </c>
      <c r="C18" s="1621" t="s">
        <v>365</v>
      </c>
      <c r="D18" s="1622">
        <f>'SWT TCOS'!G237</f>
        <v>0</v>
      </c>
      <c r="E18" s="1623">
        <f>+F13</f>
        <v>0.105</v>
      </c>
      <c r="F18" s="787">
        <f>E18*D18</f>
        <v>0</v>
      </c>
      <c r="G18" s="788"/>
      <c r="H18" s="1630"/>
      <c r="I18" s="1630"/>
      <c r="J18" s="1634"/>
      <c r="K18" s="272"/>
      <c r="L18" s="272"/>
      <c r="M18" s="272"/>
      <c r="N18" s="1613"/>
      <c r="O18" s="1633"/>
      <c r="P18" s="1619">
        <f>+E17</f>
        <v>0</v>
      </c>
      <c r="Q18" s="1620" t="s">
        <v>442</v>
      </c>
      <c r="R18" s="1616"/>
      <c r="S18" s="272"/>
    </row>
    <row r="19" spans="1:19" ht="13" thickBot="1">
      <c r="A19" s="328">
        <f t="shared" si="0"/>
        <v>9</v>
      </c>
      <c r="C19" s="27"/>
      <c r="D19" s="1604"/>
      <c r="E19" s="1635" t="s">
        <v>374</v>
      </c>
      <c r="F19" s="1624">
        <f>SUM(F16:F18)</f>
        <v>0</v>
      </c>
      <c r="G19" s="1625"/>
      <c r="H19" s="1636"/>
      <c r="I19" s="1630"/>
      <c r="J19" s="1637" t="s">
        <v>427</v>
      </c>
      <c r="K19" s="1638">
        <f>+'SWT TCOS'!$N$2</f>
        <v>2019</v>
      </c>
      <c r="L19" s="1639">
        <f>+P44</f>
        <v>0</v>
      </c>
      <c r="M19" s="1639">
        <f>+P45</f>
        <v>0</v>
      </c>
      <c r="N19" s="1640">
        <f>+P46</f>
        <v>0</v>
      </c>
      <c r="O19" s="1633"/>
      <c r="P19" s="1619">
        <f>+D18</f>
        <v>0</v>
      </c>
      <c r="Q19" s="1641" t="s">
        <v>443</v>
      </c>
      <c r="R19" s="1616"/>
      <c r="S19" s="272"/>
    </row>
    <row r="20" spans="1:19" ht="13">
      <c r="A20" s="328"/>
      <c r="D20" s="1642"/>
      <c r="E20" s="1642"/>
      <c r="F20" s="1630"/>
      <c r="G20" s="1630"/>
      <c r="H20" s="1630"/>
      <c r="I20" s="1630"/>
      <c r="J20" s="798"/>
      <c r="K20" s="798"/>
      <c r="L20" s="798"/>
      <c r="M20" s="798"/>
      <c r="N20" s="798"/>
      <c r="O20" s="1643"/>
      <c r="P20" s="1644">
        <f>+E23</f>
        <v>15956.08450076923</v>
      </c>
      <c r="Q20" s="1645" t="str">
        <f>+C23</f>
        <v xml:space="preserve">   Rate Base  (TCOS, ln 63)</v>
      </c>
      <c r="R20" s="754"/>
      <c r="S20" s="272"/>
    </row>
    <row r="21" spans="1:19" ht="15.5">
      <c r="A21" s="328"/>
      <c r="C21" s="745" t="str">
        <f>"B.   Determine Return using 'R' with hypothetical "&amp;F12&amp;" basis point ROE increase for Identified Projects."</f>
        <v>B.   Determine Return using 'R' with hypothetical 0 basis point ROE increase for Identified Projects.</v>
      </c>
      <c r="D21" s="1642"/>
      <c r="E21" s="1642"/>
      <c r="F21" s="1630"/>
      <c r="G21" s="1630"/>
      <c r="H21" s="1630"/>
      <c r="I21" s="1604"/>
      <c r="J21" s="802"/>
      <c r="K21" s="798"/>
      <c r="L21" s="798"/>
      <c r="M21" s="798"/>
      <c r="N21" s="798"/>
      <c r="O21" s="1643"/>
      <c r="P21" s="1646">
        <f>+F30</f>
        <v>0.27319999999999989</v>
      </c>
      <c r="Q21" s="1613" t="str">
        <f>+C30</f>
        <v xml:space="preserve">   Tax Rate  (TCOS, ln 99)</v>
      </c>
      <c r="R21" s="1616"/>
      <c r="S21" s="272"/>
    </row>
    <row r="22" spans="1:19">
      <c r="A22" s="328"/>
      <c r="C22" s="1608"/>
      <c r="D22" s="1642"/>
      <c r="E22" s="1642"/>
      <c r="F22" s="1643"/>
      <c r="G22" s="1643"/>
      <c r="H22" s="1643"/>
      <c r="I22" s="1643"/>
      <c r="J22" s="798"/>
      <c r="K22" s="798"/>
      <c r="L22" s="798"/>
      <c r="M22" s="798"/>
      <c r="N22" s="798"/>
      <c r="O22" s="1643"/>
      <c r="P22" s="1647">
        <f>+F33</f>
        <v>0</v>
      </c>
      <c r="Q22" s="1613" t="str">
        <f>+C33</f>
        <v xml:space="preserve">   ITC Adjustment  (TCOS, ln 108)</v>
      </c>
      <c r="R22" s="1616"/>
      <c r="S22" s="272"/>
    </row>
    <row r="23" spans="1:19">
      <c r="A23" s="328">
        <f>+A19+1</f>
        <v>10</v>
      </c>
      <c r="C23" s="27" t="str">
        <f>"   Rate Base  (TCOS, ln "&amp;'SWT TCOS'!B113&amp;")"</f>
        <v xml:space="preserve">   Rate Base  (TCOS, ln 63)</v>
      </c>
      <c r="D23" s="1604"/>
      <c r="E23" s="1648">
        <f>+'SWT TCOS'!L113</f>
        <v>15956.08450076923</v>
      </c>
      <c r="F23" s="1649"/>
      <c r="G23" s="1649"/>
      <c r="H23" s="1643"/>
      <c r="I23" s="1643"/>
      <c r="J23" s="798"/>
      <c r="K23" s="798"/>
      <c r="L23" s="798"/>
      <c r="M23" s="798"/>
      <c r="N23" s="798"/>
      <c r="O23" s="1643"/>
      <c r="P23" s="1647">
        <f>+F34</f>
        <v>2562.0005503577318</v>
      </c>
      <c r="Q23" s="1613" t="str">
        <f>+C34</f>
        <v xml:space="preserve">   Excess DFIT Adjustment  (TCOS, ln 109)</v>
      </c>
      <c r="R23" s="1616"/>
      <c r="S23" s="272"/>
    </row>
    <row r="24" spans="1:19">
      <c r="A24" s="328">
        <f t="shared" si="0"/>
        <v>11</v>
      </c>
      <c r="C24" s="1608" t="s">
        <v>343</v>
      </c>
      <c r="D24" s="1606"/>
      <c r="E24" s="1650">
        <f>F19</f>
        <v>0</v>
      </c>
      <c r="F24" s="1643"/>
      <c r="G24" s="1643"/>
      <c r="H24" s="1643"/>
      <c r="I24" s="1643"/>
      <c r="J24" s="798"/>
      <c r="K24" s="798"/>
      <c r="L24" s="798"/>
      <c r="M24" s="798"/>
      <c r="N24" s="798"/>
      <c r="O24" s="1643"/>
      <c r="P24" s="1647">
        <f>+F35</f>
        <v>0</v>
      </c>
      <c r="Q24" s="1613" t="str">
        <f>+C35</f>
        <v xml:space="preserve">   Tax Effect of Permanent and Flow Through Differences  (TCOS, ln 110)</v>
      </c>
      <c r="R24" s="1616"/>
      <c r="S24" s="272"/>
    </row>
    <row r="25" spans="1:19" ht="15.5">
      <c r="A25" s="328">
        <f t="shared" si="0"/>
        <v>12</v>
      </c>
      <c r="C25" s="1651" t="s">
        <v>375</v>
      </c>
      <c r="D25" s="1651"/>
      <c r="E25" s="1652">
        <f>E23*E24</f>
        <v>0</v>
      </c>
      <c r="F25" s="1643"/>
      <c r="G25" s="1643"/>
      <c r="H25" s="1643"/>
      <c r="I25" s="1643"/>
      <c r="J25" s="353"/>
      <c r="K25" s="353"/>
      <c r="L25" s="353"/>
      <c r="M25" s="353"/>
      <c r="N25" s="289"/>
      <c r="O25" s="1633"/>
      <c r="P25" s="1647">
        <f>+F42</f>
        <v>100832.38796693773</v>
      </c>
      <c r="Q25" s="1613" t="str">
        <f>+C42</f>
        <v xml:space="preserve">   Net Revenue Requirement  (TCOS, ln 117)</v>
      </c>
      <c r="R25" s="1616"/>
      <c r="S25" s="272"/>
    </row>
    <row r="26" spans="1:19" ht="20">
      <c r="A26" s="328"/>
      <c r="C26" s="1651"/>
      <c r="D26" s="1615"/>
      <c r="E26" s="1615"/>
      <c r="F26" s="1643"/>
      <c r="G26" s="1643"/>
      <c r="H26" s="1643"/>
      <c r="I26" s="1643"/>
      <c r="J26" s="810" t="s">
        <v>126</v>
      </c>
      <c r="K26" s="811" t="s">
        <v>437</v>
      </c>
      <c r="L26" s="812"/>
      <c r="M26" s="812"/>
      <c r="N26" s="813"/>
      <c r="O26" s="1633"/>
      <c r="P26" s="1647">
        <f>+F43</f>
        <v>1147.0294165799876</v>
      </c>
      <c r="Q26" s="1613" t="str">
        <f>+C43</f>
        <v xml:space="preserve">   Return  (TCOS, ln 112)</v>
      </c>
      <c r="R26" s="1616"/>
      <c r="S26" s="272"/>
    </row>
    <row r="27" spans="1:19" ht="18">
      <c r="A27" s="328"/>
      <c r="C27" s="745" t="str">
        <f>"C.   Determine Income Taxes using Return with hypothetical "&amp;F12&amp;" basis point ROE increase for Identified Projects."</f>
        <v>C.   Determine Income Taxes using Return with hypothetical 0 basis point ROE increase for Identified Projects.</v>
      </c>
      <c r="D27" s="1653"/>
      <c r="E27" s="1653"/>
      <c r="F27" s="1654"/>
      <c r="G27" s="1654"/>
      <c r="H27" s="1654"/>
      <c r="I27" s="1654"/>
      <c r="J27" s="1633"/>
      <c r="K27" s="816" t="s">
        <v>426</v>
      </c>
      <c r="L27" s="817"/>
      <c r="M27" s="817"/>
      <c r="N27" s="813"/>
      <c r="O27" s="1655"/>
      <c r="P27" s="1647">
        <f>+F44</f>
        <v>2562.0005503577318</v>
      </c>
      <c r="Q27" s="1613" t="str">
        <f>+C44</f>
        <v xml:space="preserve">   Income Taxes  (TCOS, ln 111)</v>
      </c>
      <c r="R27" s="1616"/>
      <c r="S27" s="272"/>
    </row>
    <row r="28" spans="1:19" ht="14.25" customHeight="1">
      <c r="A28" s="328"/>
      <c r="C28" s="27"/>
      <c r="D28" s="1615"/>
      <c r="E28" s="1615"/>
      <c r="F28" s="1643"/>
      <c r="G28" s="1643"/>
      <c r="H28" s="1643"/>
      <c r="I28" s="1643"/>
      <c r="O28" s="1633"/>
      <c r="P28" s="1647">
        <f>+F45</f>
        <v>0</v>
      </c>
      <c r="Q28" s="1613" t="str">
        <f>C45</f>
        <v xml:space="preserve">  Gross Margin Taxes  (TCOS, ln 116)</v>
      </c>
      <c r="R28" s="1616"/>
      <c r="S28" s="754"/>
    </row>
    <row r="29" spans="1:19" ht="19.5" customHeight="1">
      <c r="A29" s="328">
        <f>+A25+1</f>
        <v>13</v>
      </c>
      <c r="C29" s="1608" t="s">
        <v>376</v>
      </c>
      <c r="D29" s="1635"/>
      <c r="F29" s="1656">
        <f>E25</f>
        <v>0</v>
      </c>
      <c r="G29" s="1643"/>
      <c r="H29" s="1643"/>
      <c r="I29" s="1643"/>
      <c r="O29" s="1643"/>
      <c r="P29" s="1647">
        <f>+F55</f>
        <v>0</v>
      </c>
      <c r="Q29" s="1613" t="str">
        <f>+C55</f>
        <v xml:space="preserve">   Less: Depreciation  (TCOS, ln 86)</v>
      </c>
      <c r="R29" s="1616"/>
      <c r="S29" s="272"/>
    </row>
    <row r="30" spans="1:19">
      <c r="A30" s="328">
        <f t="shared" si="0"/>
        <v>14</v>
      </c>
      <c r="C30" s="27" t="str">
        <f>"   Tax Rate  (TCOS, ln "&amp;'SWT TCOS'!B168&amp;")"</f>
        <v xml:space="preserve">   Tax Rate  (TCOS, ln 99)</v>
      </c>
      <c r="D30" s="1635"/>
      <c r="F30" s="1657">
        <f>+'SWT TCOS'!G168</f>
        <v>0.27319999999999989</v>
      </c>
      <c r="G30" s="1643"/>
      <c r="H30" s="1643"/>
      <c r="I30" s="1643"/>
      <c r="O30" s="1643"/>
      <c r="P30" s="1646">
        <f>+F61</f>
        <v>0</v>
      </c>
      <c r="Q30" s="1613" t="str">
        <f>+C61</f>
        <v xml:space="preserve">       Apportionment Factor to Texas (Worksheet K, ln 12)</v>
      </c>
      <c r="R30" s="1616"/>
      <c r="S30" s="272"/>
    </row>
    <row r="31" spans="1:19">
      <c r="A31" s="328">
        <f t="shared" si="0"/>
        <v>15</v>
      </c>
      <c r="C31" s="1608" t="s">
        <v>198</v>
      </c>
      <c r="F31" s="1614">
        <f>IF(F16&gt;0,($F30/(1-$F30))*(1-$F16/$F19),0)</f>
        <v>0</v>
      </c>
      <c r="P31" s="1647">
        <f>+F71</f>
        <v>7.6923076923076925E-7</v>
      </c>
      <c r="Q31" s="1613" t="str">
        <f>+C71</f>
        <v xml:space="preserve">   Net Transmission Plant  (TCOS, ln 37)</v>
      </c>
      <c r="R31" s="1616"/>
      <c r="S31" s="272"/>
    </row>
    <row r="32" spans="1:19">
      <c r="A32" s="328">
        <f t="shared" si="0"/>
        <v>16</v>
      </c>
      <c r="C32" s="1651" t="s">
        <v>199</v>
      </c>
      <c r="F32" s="1658">
        <f>F29*F31</f>
        <v>0</v>
      </c>
      <c r="P32" s="1659">
        <f>+F77</f>
        <v>131082104357.01906</v>
      </c>
      <c r="Q32" s="1660" t="str">
        <f>+C77</f>
        <v xml:space="preserve">   FCR less Depreciation  (TCOS, ln 10)</v>
      </c>
      <c r="R32" s="1616"/>
      <c r="S32" s="1661"/>
    </row>
    <row r="33" spans="1:19" ht="15.5">
      <c r="A33" s="328">
        <f t="shared" si="0"/>
        <v>17</v>
      </c>
      <c r="C33" s="27" t="str">
        <f>"   ITC Adjustment  (TCOS, ln "&amp;'SWT TCOS'!B178&amp;")"</f>
        <v xml:space="preserve">   ITC Adjustment  (TCOS, ln 108)</v>
      </c>
      <c r="D33" s="353"/>
      <c r="F33" s="1643">
        <f>+'SWT TCOS'!L178</f>
        <v>0</v>
      </c>
      <c r="G33" s="353"/>
      <c r="H33" s="353"/>
      <c r="I33" s="353"/>
      <c r="O33" s="353"/>
      <c r="P33" s="1659">
        <f>+F81</f>
        <v>7.6923076923076925E-7</v>
      </c>
      <c r="Q33" s="1660" t="str">
        <f>+C81</f>
        <v>Transmission Plant Average Balance for 2019 (WS A-1 Ln 14 Col (d))</v>
      </c>
      <c r="R33" s="1616"/>
      <c r="S33" s="754"/>
    </row>
    <row r="34" spans="1:19" ht="15.5">
      <c r="A34" s="328">
        <f t="shared" si="0"/>
        <v>18</v>
      </c>
      <c r="C34" s="27" t="str">
        <f>"   Excess DFIT Adjustment  (TCOS, ln "&amp;'SWT TCOS'!B179&amp;")"</f>
        <v xml:space="preserve">   Excess DFIT Adjustment  (TCOS, ln 109)</v>
      </c>
      <c r="D34" s="353"/>
      <c r="F34" s="1643">
        <f>+'SWT TCOS'!L179</f>
        <v>2562.0005503577318</v>
      </c>
      <c r="G34" s="353"/>
      <c r="H34" s="353"/>
      <c r="I34" s="353"/>
      <c r="O34" s="353"/>
      <c r="P34" s="1599">
        <f>+F82</f>
        <v>0</v>
      </c>
      <c r="Q34" s="1662" t="str">
        <f>+C82</f>
        <v>Annual Depreciation Expense  (TCOS, ln 86)</v>
      </c>
      <c r="R34" s="1616"/>
      <c r="S34" s="754"/>
    </row>
    <row r="35" spans="1:19" ht="15.5">
      <c r="A35" s="328">
        <f t="shared" si="0"/>
        <v>19</v>
      </c>
      <c r="C35" s="27" t="str">
        <f>"   Tax Effect of Permanent and Flow Through Differences  (TCOS, ln "&amp;'SWT TCOS'!B180&amp;")"</f>
        <v xml:space="preserve">   Tax Effect of Permanent and Flow Through Differences  (TCOS, ln 110)</v>
      </c>
      <c r="D35" s="353"/>
      <c r="F35" s="1643">
        <f>+'SWT TCOS'!L180</f>
        <v>0</v>
      </c>
      <c r="G35" s="353"/>
      <c r="H35" s="353"/>
      <c r="I35" s="353"/>
      <c r="O35" s="353"/>
      <c r="P35" s="279"/>
      <c r="R35" s="1616"/>
      <c r="S35" s="754"/>
    </row>
    <row r="36" spans="1:19" ht="15.5">
      <c r="A36" s="328">
        <f t="shared" si="0"/>
        <v>20</v>
      </c>
      <c r="C36" s="1651" t="s">
        <v>377</v>
      </c>
      <c r="D36" s="353"/>
      <c r="F36" s="1663">
        <f>+SUM(F32:F35)</f>
        <v>2562.0005503577318</v>
      </c>
      <c r="G36" s="353"/>
      <c r="H36" s="353"/>
      <c r="I36" s="353"/>
      <c r="O36" s="353"/>
      <c r="P36" s="279"/>
    </row>
    <row r="37" spans="1:19" ht="12.75" customHeight="1">
      <c r="A37" s="328"/>
      <c r="C37" s="317"/>
      <c r="D37" s="353"/>
      <c r="E37" s="353"/>
      <c r="F37" s="353"/>
      <c r="G37" s="353"/>
      <c r="H37" s="353"/>
      <c r="I37" s="353"/>
      <c r="O37" s="353"/>
      <c r="P37" s="578" t="s">
        <v>166</v>
      </c>
      <c r="Q37" s="740" t="s">
        <v>435</v>
      </c>
    </row>
    <row r="38" spans="1:19" ht="18">
      <c r="A38" s="328"/>
      <c r="B38" s="743" t="s">
        <v>310</v>
      </c>
      <c r="C38" s="741" t="str">
        <f>"Calculate Net Plant Carrying Charge Rate (Fixed Charge Rate or FCR) with hypothetical "&amp;F12&amp;" basis point"</f>
        <v>Calculate Net Plant Carrying Charge Rate (Fixed Charge Rate or FCR) with hypothetical 0 basis point</v>
      </c>
      <c r="D38" s="353"/>
      <c r="E38" s="353"/>
      <c r="F38" s="353"/>
      <c r="G38" s="353"/>
      <c r="H38" s="353"/>
      <c r="I38" s="353"/>
      <c r="O38" s="353"/>
      <c r="P38" s="279"/>
    </row>
    <row r="39" spans="1:19" ht="18.75" customHeight="1">
      <c r="A39" s="328"/>
      <c r="B39" s="743"/>
      <c r="C39" s="741" t="str">
        <f>"ROE increase."</f>
        <v>ROE increase.</v>
      </c>
      <c r="D39" s="353"/>
      <c r="E39" s="353"/>
      <c r="F39" s="353"/>
      <c r="G39" s="353"/>
      <c r="H39" s="353"/>
      <c r="I39" s="353"/>
      <c r="O39" s="353"/>
      <c r="P39" s="279"/>
    </row>
    <row r="40" spans="1:19" ht="12.75" customHeight="1">
      <c r="A40" s="328"/>
      <c r="C40" s="317"/>
      <c r="D40" s="353"/>
      <c r="E40" s="353"/>
      <c r="F40" s="353"/>
      <c r="G40" s="353"/>
      <c r="H40" s="353"/>
      <c r="I40" s="353"/>
      <c r="O40" s="353"/>
      <c r="P40" s="740" t="s">
        <v>167</v>
      </c>
      <c r="Q40" s="740" t="s">
        <v>435</v>
      </c>
    </row>
    <row r="41" spans="1:19" ht="15.5">
      <c r="A41" s="328"/>
      <c r="C41" s="745" t="s">
        <v>148</v>
      </c>
      <c r="D41" s="353"/>
      <c r="E41" s="353"/>
      <c r="F41" s="83"/>
      <c r="G41" s="83"/>
      <c r="H41" s="353"/>
      <c r="I41" s="353"/>
      <c r="O41" s="353"/>
      <c r="P41" s="740"/>
      <c r="Q41" s="578"/>
    </row>
    <row r="42" spans="1:19" ht="12.75" customHeight="1">
      <c r="A42" s="328">
        <f>+A36+1</f>
        <v>21</v>
      </c>
      <c r="C42" s="27" t="str">
        <f>"   Net Revenue Requirement  (TCOS, ln "&amp;'SWT TCOS'!B193&amp;")"</f>
        <v xml:space="preserve">   Net Revenue Requirement  (TCOS, ln 117)</v>
      </c>
      <c r="D42" s="1664"/>
      <c r="E42" s="1664"/>
      <c r="F42" s="1643">
        <f>+'SWT TCOS'!L193</f>
        <v>100832.38796693773</v>
      </c>
      <c r="G42" s="1643"/>
      <c r="H42" s="1664"/>
      <c r="I42" s="1664"/>
      <c r="J42" s="1664"/>
      <c r="K42" s="1664"/>
      <c r="L42" s="1664"/>
      <c r="M42" s="1664"/>
      <c r="N42" s="1643"/>
      <c r="O42" s="1664"/>
      <c r="P42" s="1665" t="s">
        <v>163</v>
      </c>
      <c r="Q42" s="1666" t="s">
        <v>164</v>
      </c>
    </row>
    <row r="43" spans="1:19" ht="13.5" thickBot="1">
      <c r="A43" s="328">
        <f t="shared" si="0"/>
        <v>22</v>
      </c>
      <c r="C43" s="27" t="str">
        <f>"   Return  (TCOS, ln "&amp;'SWT TCOS'!B184&amp;")"</f>
        <v xml:space="preserve">   Return  (TCOS, ln 112)</v>
      </c>
      <c r="D43" s="1664"/>
      <c r="E43" s="1664"/>
      <c r="F43" s="1633">
        <f>+'SWT TCOS'!L184</f>
        <v>1147.0294165799876</v>
      </c>
      <c r="G43" s="1633"/>
      <c r="H43" s="1667"/>
      <c r="I43" s="1667"/>
      <c r="J43" s="1667"/>
      <c r="K43" s="1667"/>
      <c r="L43" s="1667"/>
      <c r="M43" s="1667"/>
      <c r="N43" s="1643"/>
      <c r="O43" s="1667"/>
      <c r="P43" s="1668" t="s">
        <v>69</v>
      </c>
      <c r="Q43" s="1669"/>
    </row>
    <row r="44" spans="1:19">
      <c r="A44" s="328">
        <f t="shared" si="0"/>
        <v>23</v>
      </c>
      <c r="C44" s="27" t="str">
        <f>"   Income Taxes  (TCOS, ln "&amp;'SWT TCOS'!B182&amp;")"</f>
        <v xml:space="preserve">   Income Taxes  (TCOS, ln 111)</v>
      </c>
      <c r="D44" s="1664"/>
      <c r="E44" s="1664"/>
      <c r="F44" s="1643">
        <f>+'SWT TCOS'!L182</f>
        <v>2562.0005503577318</v>
      </c>
      <c r="G44" s="1643"/>
      <c r="H44" s="1664"/>
      <c r="I44" s="1664"/>
      <c r="J44" s="1670"/>
      <c r="K44" s="1670"/>
      <c r="L44" s="1670"/>
      <c r="M44" s="1670"/>
      <c r="N44" s="1664"/>
      <c r="O44" s="1670"/>
      <c r="P44" s="835"/>
      <c r="Q44" s="1669" t="s">
        <v>160</v>
      </c>
    </row>
    <row r="45" spans="1:19">
      <c r="A45" s="328">
        <f t="shared" si="0"/>
        <v>24</v>
      </c>
      <c r="C45" s="27" t="str">
        <f>"  Gross Margin Taxes  (TCOS, ln "&amp;'SWT TCOS'!B191&amp;")"</f>
        <v xml:space="preserve">  Gross Margin Taxes  (TCOS, ln 116)</v>
      </c>
      <c r="D45" s="1664"/>
      <c r="E45" s="1664"/>
      <c r="F45" s="1671">
        <f>+'SWT TCOS'!L191</f>
        <v>0</v>
      </c>
      <c r="G45" s="1643"/>
      <c r="H45" s="1664"/>
      <c r="I45" s="1664"/>
      <c r="J45" s="1670"/>
      <c r="K45" s="1670"/>
      <c r="L45" s="1670"/>
      <c r="M45" s="1670"/>
      <c r="N45" s="1664"/>
      <c r="O45" s="1670"/>
      <c r="P45" s="837"/>
      <c r="Q45" s="1669" t="s">
        <v>161</v>
      </c>
    </row>
    <row r="46" spans="1:19" ht="13" thickBot="1">
      <c r="A46" s="328">
        <f t="shared" si="0"/>
        <v>25</v>
      </c>
      <c r="C46" s="272" t="s">
        <v>23</v>
      </c>
      <c r="D46" s="1664"/>
      <c r="E46" s="1664"/>
      <c r="F46" s="1633">
        <f>F42-F43-F44-F45</f>
        <v>97123.358000000022</v>
      </c>
      <c r="G46" s="1633"/>
      <c r="H46" s="7"/>
      <c r="I46" s="1664"/>
      <c r="J46" s="7"/>
      <c r="K46" s="7"/>
      <c r="L46" s="7"/>
      <c r="M46" s="7"/>
      <c r="N46" s="7"/>
      <c r="O46" s="7"/>
      <c r="P46" s="838"/>
      <c r="Q46" s="1669" t="s">
        <v>162</v>
      </c>
    </row>
    <row r="47" spans="1:19" s="272" customFormat="1">
      <c r="A47" s="328"/>
      <c r="B47" s="279"/>
      <c r="C47" s="27"/>
      <c r="D47" s="1664"/>
      <c r="E47" s="1664"/>
      <c r="F47" s="1643"/>
      <c r="G47" s="1643"/>
      <c r="H47" s="1672"/>
      <c r="I47" s="1673"/>
      <c r="J47" s="1673"/>
      <c r="K47" s="1673"/>
      <c r="L47" s="1673"/>
      <c r="M47" s="1673"/>
      <c r="N47" s="1673"/>
      <c r="O47" s="1673"/>
      <c r="Q47" s="279"/>
      <c r="R47" s="279"/>
      <c r="S47" s="279"/>
    </row>
    <row r="48" spans="1:19" s="272" customFormat="1" ht="15.5">
      <c r="A48" s="328"/>
      <c r="B48" s="279"/>
      <c r="C48" s="745" t="str">
        <f>"B.   Determine Net Revenue Requirement with hypothetical "&amp;F12&amp;" basis point increase in ROE."</f>
        <v>B.   Determine Net Revenue Requirement with hypothetical 0 basis point increase in ROE.</v>
      </c>
      <c r="D48" s="1608"/>
      <c r="E48" s="1608"/>
      <c r="F48" s="1643"/>
      <c r="G48" s="1643"/>
      <c r="H48" s="1672"/>
      <c r="I48" s="1673"/>
      <c r="J48" s="1673"/>
      <c r="K48" s="1673"/>
      <c r="L48" s="1673"/>
      <c r="M48" s="1673"/>
      <c r="N48" s="1673"/>
      <c r="O48" s="1673"/>
      <c r="R48" s="279"/>
      <c r="S48" s="279"/>
    </row>
    <row r="49" spans="1:19" s="272" customFormat="1" ht="13">
      <c r="A49" s="328">
        <f>+A46+1</f>
        <v>26</v>
      </c>
      <c r="B49" s="279"/>
      <c r="C49" s="27" t="str">
        <f>C46</f>
        <v xml:space="preserve">   Net Revenue Requirement, Less Return and Taxes</v>
      </c>
      <c r="D49" s="1608"/>
      <c r="E49" s="1608"/>
      <c r="F49" s="1643">
        <f>F46</f>
        <v>97123.358000000022</v>
      </c>
      <c r="G49" s="1643"/>
      <c r="H49" s="1664"/>
      <c r="I49" s="1664"/>
      <c r="J49" s="1664"/>
      <c r="K49" s="1664"/>
      <c r="L49" s="1664"/>
      <c r="M49" s="1664"/>
      <c r="N49" s="841"/>
      <c r="O49" s="1664"/>
      <c r="R49" s="279"/>
      <c r="S49" s="279"/>
    </row>
    <row r="50" spans="1:19" s="272" customFormat="1" ht="13">
      <c r="A50" s="328">
        <f t="shared" si="0"/>
        <v>27</v>
      </c>
      <c r="B50" s="279"/>
      <c r="C50" s="1608" t="s">
        <v>385</v>
      </c>
      <c r="D50" s="1674"/>
      <c r="F50" s="1675">
        <f>E25</f>
        <v>0</v>
      </c>
      <c r="G50" s="1675"/>
      <c r="I50" s="1409"/>
      <c r="Q50" s="279"/>
      <c r="R50" s="279"/>
      <c r="S50" s="279"/>
    </row>
    <row r="51" spans="1:19" s="272" customFormat="1" ht="12.75" customHeight="1">
      <c r="A51" s="328">
        <f t="shared" si="0"/>
        <v>28</v>
      </c>
      <c r="B51" s="279"/>
      <c r="C51" s="27" t="s">
        <v>378</v>
      </c>
      <c r="D51" s="1664"/>
      <c r="E51" s="1664"/>
      <c r="F51" s="844">
        <f>F36</f>
        <v>2562.0005503577318</v>
      </c>
      <c r="G51" s="845"/>
      <c r="H51" s="279"/>
      <c r="I51" s="1377"/>
      <c r="J51" s="279"/>
      <c r="K51" s="279"/>
      <c r="L51" s="279"/>
      <c r="M51" s="279"/>
      <c r="N51" s="279"/>
      <c r="Q51" s="279"/>
      <c r="R51" s="279"/>
      <c r="S51" s="279"/>
    </row>
    <row r="52" spans="1:19" s="272" customFormat="1">
      <c r="A52" s="328">
        <f t="shared" si="0"/>
        <v>29</v>
      </c>
      <c r="B52" s="279"/>
      <c r="C52" s="272" t="str">
        <f>"   Net Revenue Requirement, with "&amp;F12&amp;" Basis Point ROE increase"</f>
        <v xml:space="preserve">   Net Revenue Requirement, with 0 Basis Point ROE increase</v>
      </c>
      <c r="D52" s="328"/>
      <c r="E52" s="279"/>
      <c r="F52" s="1658">
        <f>SUM(F49:F51)</f>
        <v>99685.358550357749</v>
      </c>
      <c r="G52" s="1658"/>
      <c r="H52" s="279"/>
      <c r="I52" s="1377"/>
      <c r="J52" s="279"/>
      <c r="K52" s="279"/>
      <c r="L52" s="279"/>
      <c r="M52" s="279"/>
      <c r="N52" s="279"/>
      <c r="Q52" s="279"/>
      <c r="R52" s="279"/>
      <c r="S52" s="279"/>
    </row>
    <row r="53" spans="1:19" s="272" customFormat="1">
      <c r="A53" s="328">
        <f t="shared" si="0"/>
        <v>30</v>
      </c>
      <c r="B53" s="279"/>
      <c r="C53" s="1661" t="str">
        <f>"   Gross Margin Tax with "&amp;F86&amp;" Basis Point ROE Increase (II C. below)"</f>
        <v xml:space="preserve">   Gross Margin Tax with  Basis Point ROE Increase (II C. below)</v>
      </c>
      <c r="D53" s="326"/>
      <c r="E53" s="326"/>
      <c r="F53" s="1676">
        <f>+F68</f>
        <v>0</v>
      </c>
      <c r="G53" s="1675"/>
      <c r="H53" s="279"/>
      <c r="I53" s="1377"/>
      <c r="J53" s="279"/>
      <c r="K53" s="279"/>
      <c r="L53" s="279"/>
      <c r="M53" s="279"/>
      <c r="N53" s="279"/>
      <c r="Q53" s="279"/>
      <c r="R53" s="279"/>
      <c r="S53" s="279"/>
    </row>
    <row r="54" spans="1:19" s="272" customFormat="1">
      <c r="A54" s="328">
        <f t="shared" si="0"/>
        <v>31</v>
      </c>
      <c r="B54" s="279"/>
      <c r="C54" s="272" t="s">
        <v>24</v>
      </c>
      <c r="D54" s="328"/>
      <c r="E54" s="279"/>
      <c r="F54" s="1675">
        <f>+F52+F53</f>
        <v>99685.358550357749</v>
      </c>
      <c r="G54" s="1675"/>
      <c r="H54" s="279"/>
      <c r="I54" s="1377"/>
      <c r="J54" s="279"/>
      <c r="K54" s="279"/>
      <c r="L54" s="279"/>
      <c r="M54" s="279"/>
      <c r="N54" s="279"/>
      <c r="Q54" s="279"/>
      <c r="R54" s="279"/>
      <c r="S54" s="279"/>
    </row>
    <row r="55" spans="1:19" s="272" customFormat="1">
      <c r="A55" s="328">
        <f t="shared" si="0"/>
        <v>32</v>
      </c>
      <c r="B55" s="279"/>
      <c r="C55" s="27" t="str">
        <f>"   Less: Depreciation  (TCOS, ln "&amp;'SWT TCOS'!B153&amp;")"</f>
        <v xml:space="preserve">   Less: Depreciation  (TCOS, ln 86)</v>
      </c>
      <c r="D55" s="328"/>
      <c r="E55" s="279"/>
      <c r="F55" s="847">
        <f>+'SWT TCOS'!L153</f>
        <v>0</v>
      </c>
      <c r="G55" s="847"/>
      <c r="H55" s="279"/>
      <c r="I55" s="1377"/>
      <c r="J55" s="279"/>
      <c r="K55" s="279"/>
      <c r="L55" s="279"/>
      <c r="M55" s="279"/>
      <c r="N55" s="279"/>
      <c r="Q55" s="279"/>
      <c r="R55" s="279"/>
      <c r="S55" s="279"/>
    </row>
    <row r="56" spans="1:19" s="272" customFormat="1">
      <c r="A56" s="328">
        <f t="shared" si="0"/>
        <v>33</v>
      </c>
      <c r="B56" s="279"/>
      <c r="C56" s="272" t="str">
        <f>"   Net Rev. Req, w/"&amp;F12&amp;" Basis Point ROE increase, less Depreciation"</f>
        <v xml:space="preserve">   Net Rev. Req, w/0 Basis Point ROE increase, less Depreciation</v>
      </c>
      <c r="D56" s="328"/>
      <c r="E56" s="279"/>
      <c r="F56" s="1658">
        <f>F54-F55</f>
        <v>99685.358550357749</v>
      </c>
      <c r="G56" s="1658"/>
      <c r="H56" s="279"/>
      <c r="I56" s="1377"/>
      <c r="J56" s="279"/>
      <c r="K56" s="279"/>
      <c r="L56" s="279"/>
      <c r="M56" s="279"/>
      <c r="N56" s="279"/>
      <c r="Q56" s="279"/>
      <c r="R56" s="279"/>
      <c r="S56" s="279"/>
    </row>
    <row r="57" spans="1:19" s="272" customFormat="1">
      <c r="A57" s="328"/>
      <c r="B57" s="279"/>
      <c r="C57" s="279"/>
      <c r="D57" s="328"/>
      <c r="E57" s="279"/>
      <c r="F57" s="279"/>
      <c r="G57" s="279"/>
      <c r="H57" s="279"/>
      <c r="I57" s="1377"/>
      <c r="J57" s="279"/>
      <c r="K57" s="279"/>
      <c r="L57" s="279"/>
      <c r="M57" s="279"/>
      <c r="N57" s="279"/>
      <c r="Q57" s="279"/>
      <c r="R57" s="279"/>
      <c r="S57" s="279"/>
    </row>
    <row r="58" spans="1:19" s="272" customFormat="1" ht="15.5">
      <c r="A58" s="328"/>
      <c r="B58" s="279"/>
      <c r="C58" s="745" t="str">
        <f>"C.   Determine Gross Margin Tax with hypothetical "&amp;F12&amp;" basis point increase in ROE."</f>
        <v>C.   Determine Gross Margin Tax with hypothetical 0 basis point increase in ROE.</v>
      </c>
      <c r="D58" s="326"/>
      <c r="E58" s="326"/>
      <c r="F58" s="1658"/>
      <c r="G58" s="1658"/>
      <c r="H58" s="279"/>
      <c r="I58" s="1377"/>
      <c r="J58" s="279"/>
      <c r="K58" s="279"/>
      <c r="L58" s="279"/>
      <c r="M58" s="279"/>
      <c r="N58" s="279"/>
      <c r="Q58" s="279"/>
      <c r="R58" s="279"/>
      <c r="S58" s="279"/>
    </row>
    <row r="59" spans="1:19" s="272" customFormat="1">
      <c r="A59" s="328">
        <f>+A56+1</f>
        <v>34</v>
      </c>
      <c r="B59" s="279"/>
      <c r="C59" s="1661" t="str">
        <f>"   Net Revenue Requirement before Gross Margin Taxes, with "&amp;F12&amp;" "</f>
        <v xml:space="preserve">   Net Revenue Requirement before Gross Margin Taxes, with 0 </v>
      </c>
      <c r="D59" s="326"/>
      <c r="E59" s="326"/>
      <c r="F59" s="1658">
        <f>+F52</f>
        <v>99685.358550357749</v>
      </c>
      <c r="G59" s="1658"/>
      <c r="H59" s="279"/>
      <c r="I59" s="1377"/>
      <c r="J59" s="279"/>
      <c r="K59" s="279"/>
      <c r="L59" s="279"/>
      <c r="M59" s="279"/>
      <c r="N59" s="279"/>
      <c r="Q59" s="279"/>
      <c r="R59" s="279"/>
      <c r="S59" s="279"/>
    </row>
    <row r="60" spans="1:19" s="272" customFormat="1">
      <c r="A60" s="328">
        <f t="shared" si="0"/>
        <v>35</v>
      </c>
      <c r="B60" s="279"/>
      <c r="C60" s="1661" t="s">
        <v>25</v>
      </c>
      <c r="D60" s="326"/>
      <c r="E60" s="326"/>
      <c r="F60" s="1658"/>
      <c r="G60" s="1658"/>
      <c r="H60" s="279"/>
      <c r="I60" s="1377"/>
      <c r="J60" s="279"/>
      <c r="K60" s="279"/>
      <c r="L60" s="279"/>
      <c r="M60" s="279"/>
      <c r="N60" s="279"/>
      <c r="Q60" s="279"/>
      <c r="R60" s="279"/>
      <c r="S60" s="279"/>
    </row>
    <row r="61" spans="1:19" s="272" customFormat="1">
      <c r="A61" s="328">
        <f t="shared" si="0"/>
        <v>36</v>
      </c>
      <c r="B61" s="279"/>
      <c r="C61" s="272" t="str">
        <f>"       Apportionment Factor to Texas (Worksheet K, ln "&amp;'SWT WS K State Taxes'!A53&amp;")"</f>
        <v xml:space="preserve">       Apportionment Factor to Texas (Worksheet K, ln 12)</v>
      </c>
      <c r="D61" s="328"/>
      <c r="E61" s="279"/>
      <c r="F61" s="1677">
        <f>+'SWT WS K State Taxes'!E53</f>
        <v>0</v>
      </c>
      <c r="G61" s="1657"/>
      <c r="H61" s="279"/>
      <c r="I61" s="1377"/>
      <c r="J61" s="279"/>
      <c r="K61" s="279"/>
      <c r="L61" s="279"/>
      <c r="M61" s="279"/>
      <c r="N61" s="279"/>
      <c r="Q61" s="279"/>
      <c r="R61" s="279"/>
      <c r="S61" s="279"/>
    </row>
    <row r="62" spans="1:19" s="1377" customFormat="1">
      <c r="A62" s="328">
        <f t="shared" si="0"/>
        <v>37</v>
      </c>
      <c r="B62" s="279"/>
      <c r="C62" s="272" t="s">
        <v>26</v>
      </c>
      <c r="D62" s="328"/>
      <c r="E62" s="279"/>
      <c r="F62" s="1658">
        <f>+F61*F59</f>
        <v>0</v>
      </c>
      <c r="G62" s="1658"/>
      <c r="H62" s="279"/>
      <c r="J62" s="279"/>
      <c r="K62" s="279"/>
      <c r="L62" s="279"/>
      <c r="M62" s="279"/>
      <c r="N62" s="279"/>
      <c r="O62" s="272"/>
      <c r="P62" s="272"/>
      <c r="Q62" s="279"/>
      <c r="R62" s="279"/>
      <c r="S62" s="279"/>
    </row>
    <row r="63" spans="1:19" s="1377" customFormat="1">
      <c r="A63" s="328">
        <f t="shared" si="0"/>
        <v>38</v>
      </c>
      <c r="B63" s="279"/>
      <c r="C63" s="272" t="s">
        <v>674</v>
      </c>
      <c r="D63" s="328"/>
      <c r="E63" s="279"/>
      <c r="F63" s="1678">
        <v>0.22</v>
      </c>
      <c r="G63" s="1679"/>
      <c r="H63" s="279"/>
      <c r="J63" s="279"/>
      <c r="K63" s="279"/>
      <c r="L63" s="279"/>
      <c r="M63" s="279"/>
      <c r="N63" s="279"/>
      <c r="O63" s="272"/>
      <c r="P63" s="272"/>
      <c r="Q63" s="279"/>
      <c r="R63" s="279"/>
      <c r="S63" s="279"/>
    </row>
    <row r="64" spans="1:19" s="1377" customFormat="1">
      <c r="A64" s="328">
        <f t="shared" si="0"/>
        <v>39</v>
      </c>
      <c r="B64" s="279"/>
      <c r="C64" s="272" t="s">
        <v>27</v>
      </c>
      <c r="D64" s="328"/>
      <c r="E64" s="279"/>
      <c r="F64" s="1658">
        <f>+F62*F63</f>
        <v>0</v>
      </c>
      <c r="G64" s="1658"/>
      <c r="H64" s="279"/>
      <c r="J64" s="279"/>
      <c r="K64" s="279"/>
      <c r="L64" s="279"/>
      <c r="M64" s="279"/>
      <c r="N64" s="279"/>
      <c r="O64" s="272"/>
      <c r="P64" s="272"/>
      <c r="Q64" s="279"/>
      <c r="R64" s="279"/>
      <c r="S64" s="279"/>
    </row>
    <row r="65" spans="1:19" s="1377" customFormat="1">
      <c r="A65" s="328">
        <f t="shared" si="0"/>
        <v>40</v>
      </c>
      <c r="B65" s="279"/>
      <c r="C65" s="272" t="s">
        <v>28</v>
      </c>
      <c r="D65" s="328"/>
      <c r="E65" s="279"/>
      <c r="F65" s="1678">
        <v>0.01</v>
      </c>
      <c r="G65" s="1679"/>
      <c r="H65" s="279"/>
      <c r="J65" s="279"/>
      <c r="K65" s="279"/>
      <c r="L65" s="279"/>
      <c r="M65" s="279"/>
      <c r="N65" s="279"/>
      <c r="O65" s="272"/>
      <c r="P65" s="272"/>
      <c r="Q65" s="279"/>
      <c r="R65" s="279"/>
      <c r="S65" s="279"/>
    </row>
    <row r="66" spans="1:19" s="1377" customFormat="1">
      <c r="A66" s="328">
        <f t="shared" si="0"/>
        <v>41</v>
      </c>
      <c r="B66" s="279"/>
      <c r="C66" s="272" t="s">
        <v>29</v>
      </c>
      <c r="D66" s="328"/>
      <c r="E66" s="279"/>
      <c r="F66" s="1658">
        <f>+F64*F65</f>
        <v>0</v>
      </c>
      <c r="G66" s="1658"/>
      <c r="H66" s="279"/>
      <c r="J66" s="279"/>
      <c r="K66" s="279"/>
      <c r="L66" s="279"/>
      <c r="M66" s="279"/>
      <c r="N66" s="279"/>
      <c r="O66" s="272"/>
      <c r="P66" s="272"/>
      <c r="Q66" s="279"/>
      <c r="R66" s="279"/>
      <c r="S66" s="279"/>
    </row>
    <row r="67" spans="1:19" s="1377" customFormat="1">
      <c r="A67" s="328">
        <f t="shared" si="0"/>
        <v>42</v>
      </c>
      <c r="B67" s="279"/>
      <c r="C67" s="272" t="s">
        <v>30</v>
      </c>
      <c r="D67" s="328"/>
      <c r="E67" s="279"/>
      <c r="F67" s="1680">
        <f>+ROUND((F66*F63*F61)/(1-F65)*F65,0)</f>
        <v>0</v>
      </c>
      <c r="G67" s="1576"/>
      <c r="H67" s="279"/>
      <c r="J67" s="279"/>
      <c r="K67" s="279"/>
      <c r="L67" s="279"/>
      <c r="M67" s="279"/>
      <c r="N67" s="279"/>
      <c r="O67" s="272"/>
      <c r="P67" s="272"/>
      <c r="Q67" s="279"/>
      <c r="R67" s="279"/>
      <c r="S67" s="279"/>
    </row>
    <row r="68" spans="1:19" s="1377" customFormat="1">
      <c r="A68" s="328">
        <f t="shared" si="0"/>
        <v>43</v>
      </c>
      <c r="B68" s="279"/>
      <c r="C68" s="272" t="s">
        <v>31</v>
      </c>
      <c r="D68" s="328"/>
      <c r="E68" s="279"/>
      <c r="F68" s="1658">
        <f>+F66+F67</f>
        <v>0</v>
      </c>
      <c r="G68" s="1658"/>
      <c r="H68" s="279"/>
      <c r="J68" s="279"/>
      <c r="K68" s="279"/>
      <c r="L68" s="279"/>
      <c r="M68" s="279"/>
      <c r="N68" s="279"/>
      <c r="O68" s="272"/>
      <c r="P68" s="272"/>
      <c r="Q68" s="279"/>
      <c r="R68" s="279"/>
      <c r="S68" s="279"/>
    </row>
    <row r="69" spans="1:19" s="1377" customFormat="1">
      <c r="A69" s="328"/>
      <c r="B69" s="279"/>
      <c r="C69" s="279"/>
      <c r="D69" s="328"/>
      <c r="E69" s="279"/>
      <c r="F69" s="279"/>
      <c r="G69" s="279"/>
      <c r="H69" s="279"/>
      <c r="J69" s="279"/>
      <c r="K69" s="279"/>
      <c r="L69" s="279"/>
      <c r="M69" s="279"/>
      <c r="N69" s="279"/>
      <c r="O69" s="272"/>
      <c r="P69" s="272"/>
      <c r="Q69" s="279"/>
      <c r="R69" s="279"/>
      <c r="S69" s="279"/>
    </row>
    <row r="70" spans="1:19" s="1377" customFormat="1" ht="15.5">
      <c r="A70" s="328"/>
      <c r="B70" s="279"/>
      <c r="C70" s="745" t="str">
        <f>"D.   Determine FCR with hypothetical "&amp;F12&amp;" basis point ROE increase."</f>
        <v>D.   Determine FCR with hypothetical 0 basis point ROE increase.</v>
      </c>
      <c r="D70" s="328"/>
      <c r="E70" s="279"/>
      <c r="F70" s="279"/>
      <c r="G70" s="279"/>
      <c r="H70" s="279"/>
      <c r="J70" s="279"/>
      <c r="K70" s="279"/>
      <c r="L70" s="279"/>
      <c r="M70" s="279"/>
      <c r="N70" s="279"/>
      <c r="O70" s="272"/>
      <c r="P70" s="272"/>
      <c r="Q70" s="279"/>
      <c r="R70" s="279"/>
      <c r="S70" s="279"/>
    </row>
    <row r="71" spans="1:19" s="1377" customFormat="1">
      <c r="A71" s="328">
        <f>+A68+1</f>
        <v>44</v>
      </c>
      <c r="B71" s="279"/>
      <c r="C71" s="27" t="str">
        <f>"   Net Transmission Plant  (TCOS, ln "&amp;'SWT TCOS'!B79&amp;")"</f>
        <v xml:space="preserve">   Net Transmission Plant  (TCOS, ln 37)</v>
      </c>
      <c r="D71" s="328"/>
      <c r="E71" s="279"/>
      <c r="F71" s="1658">
        <f>+'SWT TCOS'!L79</f>
        <v>7.6923076923076925E-7</v>
      </c>
      <c r="G71" s="1658"/>
      <c r="H71" s="279"/>
      <c r="J71" s="279"/>
      <c r="K71" s="279"/>
      <c r="L71" s="279"/>
      <c r="M71" s="279"/>
      <c r="N71" s="279"/>
      <c r="O71" s="272"/>
      <c r="P71" s="272"/>
      <c r="Q71" s="279"/>
      <c r="R71" s="279"/>
      <c r="S71" s="279"/>
    </row>
    <row r="72" spans="1:19" s="1377" customFormat="1" ht="14">
      <c r="A72" s="328">
        <f t="shared" si="0"/>
        <v>45</v>
      </c>
      <c r="B72" s="279"/>
      <c r="C72" s="272" t="str">
        <f>"   Net Revenue Requirement, with "&amp;F12&amp;" Basis Point ROE increase"</f>
        <v xml:space="preserve">   Net Revenue Requirement, with 0 Basis Point ROE increase</v>
      </c>
      <c r="D72" s="328"/>
      <c r="E72" s="279"/>
      <c r="F72" s="852">
        <f>+F54</f>
        <v>99685.358550357749</v>
      </c>
      <c r="G72" s="852"/>
      <c r="H72" s="279"/>
      <c r="J72" s="279"/>
      <c r="K72" s="279"/>
      <c r="L72" s="279"/>
      <c r="M72" s="279"/>
      <c r="N72" s="279"/>
      <c r="O72" s="272"/>
      <c r="P72" s="272"/>
      <c r="Q72" s="279"/>
      <c r="R72" s="279"/>
      <c r="S72" s="279"/>
    </row>
    <row r="73" spans="1:19" s="1377" customFormat="1">
      <c r="A73" s="328">
        <f t="shared" si="0"/>
        <v>46</v>
      </c>
      <c r="B73" s="279"/>
      <c r="C73" s="272" t="str">
        <f>"   FCR with "&amp;F12&amp;" Basis Point increase in ROE"</f>
        <v xml:space="preserve">   FCR with 0 Basis Point increase in ROE</v>
      </c>
      <c r="D73" s="328"/>
      <c r="E73" s="279"/>
      <c r="F73" s="361">
        <f>IF(F71=0,0,F72/F71)</f>
        <v>129590966115.46507</v>
      </c>
      <c r="G73" s="361"/>
      <c r="H73" s="279"/>
      <c r="J73" s="279"/>
      <c r="K73" s="279"/>
      <c r="L73" s="279"/>
      <c r="M73" s="279"/>
      <c r="N73" s="279"/>
      <c r="O73" s="272"/>
      <c r="P73" s="272"/>
      <c r="Q73" s="279"/>
      <c r="R73" s="279"/>
      <c r="S73" s="279"/>
    </row>
    <row r="74" spans="1:19" s="1377" customFormat="1">
      <c r="A74" s="328"/>
      <c r="B74" s="279"/>
      <c r="C74" s="279"/>
      <c r="D74" s="328"/>
      <c r="E74" s="279"/>
      <c r="F74" s="279"/>
      <c r="G74" s="279"/>
      <c r="H74" s="361"/>
      <c r="J74" s="279"/>
      <c r="K74" s="279"/>
      <c r="L74" s="279"/>
      <c r="M74" s="279"/>
      <c r="N74" s="279"/>
      <c r="O74" s="272"/>
      <c r="P74" s="272"/>
      <c r="Q74" s="279"/>
      <c r="R74" s="279"/>
      <c r="S74" s="279"/>
    </row>
    <row r="75" spans="1:19" s="1377" customFormat="1">
      <c r="A75" s="328">
        <f>+A73+1</f>
        <v>47</v>
      </c>
      <c r="B75" s="279"/>
      <c r="C75" s="272" t="str">
        <f>"   Net Rev. Req, w / "&amp;F12&amp;" Basis Point ROE increase, less Dep."</f>
        <v xml:space="preserve">   Net Rev. Req, w / 0 Basis Point ROE increase, less Dep.</v>
      </c>
      <c r="D75" s="328"/>
      <c r="E75" s="279"/>
      <c r="F75" s="1658">
        <f>+F56</f>
        <v>99685.358550357749</v>
      </c>
      <c r="G75" s="1658"/>
      <c r="H75" s="279"/>
      <c r="J75" s="279"/>
      <c r="K75" s="279"/>
      <c r="L75" s="279"/>
      <c r="M75" s="279"/>
      <c r="N75" s="279"/>
      <c r="O75" s="272"/>
      <c r="P75" s="272"/>
      <c r="Q75" s="279"/>
      <c r="R75" s="279"/>
      <c r="S75" s="279"/>
    </row>
    <row r="76" spans="1:19" s="1377" customFormat="1">
      <c r="A76" s="328">
        <f t="shared" ref="A76:A85" si="1">+A75+1</f>
        <v>48</v>
      </c>
      <c r="B76" s="279"/>
      <c r="C76" s="272" t="str">
        <f>"   FCR with "&amp;F12&amp;" Basis Point ROE increase, less Depreciation"</f>
        <v xml:space="preserve">   FCR with 0 Basis Point ROE increase, less Depreciation</v>
      </c>
      <c r="D76" s="328"/>
      <c r="E76" s="279"/>
      <c r="F76" s="361">
        <f>IF(F71=0,0,F75/F71)</f>
        <v>129590966115.46507</v>
      </c>
      <c r="G76" s="361"/>
      <c r="H76" s="1658"/>
      <c r="J76" s="279"/>
      <c r="K76" s="279"/>
      <c r="L76" s="279"/>
      <c r="M76" s="279"/>
      <c r="N76" s="279"/>
      <c r="O76" s="272"/>
      <c r="P76" s="272"/>
      <c r="Q76" s="279"/>
      <c r="R76" s="279"/>
      <c r="S76" s="279"/>
    </row>
    <row r="77" spans="1:19">
      <c r="A77" s="328">
        <f t="shared" si="1"/>
        <v>49</v>
      </c>
      <c r="C77" s="27" t="str">
        <f>"   FCR less Depreciation  (TCOS, ln "&amp;'SWT TCOS'!B30&amp;")"</f>
        <v xml:space="preserve">   FCR less Depreciation  (TCOS, ln 10)</v>
      </c>
      <c r="F77" s="853">
        <f>+'SWT TCOS'!L30</f>
        <v>131082104357.01906</v>
      </c>
      <c r="G77" s="853"/>
      <c r="H77" s="1681"/>
    </row>
    <row r="78" spans="1:19">
      <c r="A78" s="328">
        <f t="shared" si="1"/>
        <v>50</v>
      </c>
      <c r="C78" s="272" t="str">
        <f>"   Incremental FCR with "&amp;F12&amp;" Basis Point ROE increase, less Depreciation"</f>
        <v xml:space="preserve">   Incremental FCR with 0 Basis Point ROE increase, less Depreciation</v>
      </c>
      <c r="F78" s="361">
        <f>F76-F77</f>
        <v>-1491138241.5539856</v>
      </c>
      <c r="G78" s="361"/>
    </row>
    <row r="79" spans="1:19">
      <c r="A79" s="328"/>
      <c r="C79" s="272"/>
      <c r="F79" s="361"/>
      <c r="G79" s="361"/>
    </row>
    <row r="80" spans="1:19" ht="18">
      <c r="A80" s="328"/>
      <c r="B80" s="743" t="s">
        <v>311</v>
      </c>
      <c r="C80" s="741" t="s">
        <v>379</v>
      </c>
      <c r="F80" s="361"/>
      <c r="G80" s="361"/>
    </row>
    <row r="81" spans="1:16">
      <c r="A81" s="328">
        <f>+A78+1</f>
        <v>51</v>
      </c>
      <c r="C81" s="272" t="str">
        <f>"Transmission Plant Average Balance for "&amp;'SWT TCOS'!$N$2&amp;" (WS A-1 Ln "&amp;'SWT WS A-1 - Plant'!A24&amp;" Col "&amp;'SWT WS A-1 - Plant'!E9&amp;")"</f>
        <v>Transmission Plant Average Balance for 2019 (WS A-1 Ln 14 Col (d))</v>
      </c>
      <c r="F81" s="1409">
        <f>+'SWT WS A-1 - Plant'!E24</f>
        <v>7.6923076923076925E-7</v>
      </c>
      <c r="G81" s="1409"/>
    </row>
    <row r="82" spans="1:16">
      <c r="A82" s="328">
        <f t="shared" si="1"/>
        <v>52</v>
      </c>
      <c r="C82" s="27" t="str">
        <f>"Annual Depreciation Expense  (TCOS, ln "&amp;'SWT TCOS'!B153&amp;")"</f>
        <v>Annual Depreciation Expense  (TCOS, ln 86)</v>
      </c>
      <c r="F82" s="1409">
        <f>+'SWT TCOS'!G153</f>
        <v>0</v>
      </c>
      <c r="G82" s="1409"/>
    </row>
    <row r="83" spans="1:16">
      <c r="A83" s="328">
        <f t="shared" si="1"/>
        <v>53</v>
      </c>
      <c r="C83" s="272" t="s">
        <v>380</v>
      </c>
      <c r="F83" s="361">
        <f>IF(F81=0,0,F82/F81)</f>
        <v>0</v>
      </c>
      <c r="G83" s="361"/>
      <c r="I83" s="1500"/>
    </row>
    <row r="84" spans="1:16">
      <c r="A84" s="328">
        <f t="shared" si="1"/>
        <v>54</v>
      </c>
      <c r="C84" s="272" t="s">
        <v>381</v>
      </c>
      <c r="F84" s="1682">
        <f>IF(F83=0,0,1/F83)</f>
        <v>0</v>
      </c>
      <c r="G84" s="1682"/>
    </row>
    <row r="85" spans="1:16">
      <c r="A85" s="328">
        <f t="shared" si="1"/>
        <v>55</v>
      </c>
      <c r="C85" s="272" t="s">
        <v>382</v>
      </c>
      <c r="F85" s="1514">
        <f>ROUND(F84,0)</f>
        <v>0</v>
      </c>
      <c r="G85" s="1514"/>
    </row>
    <row r="86" spans="1:16">
      <c r="C86" s="272"/>
      <c r="F86" s="1514"/>
      <c r="G86" s="1514"/>
    </row>
    <row r="87" spans="1:16">
      <c r="C87" s="272"/>
      <c r="F87" s="1514"/>
      <c r="G87" s="1514"/>
    </row>
    <row r="88" spans="1:16" ht="20">
      <c r="A88" s="856" t="str">
        <f>"'Worksheet F --  "&amp;'SWT TCOS'!F8&amp;" --  Calculation of Projected ARR for SPP Base Plan Upgrade Projects"</f>
        <v>'Worksheet F --  AEP SOUTHWESTERN TRANSMISSION COMPANY --  Calculation of Projected ARR for SPP Base Plan Upgrade Projects</v>
      </c>
      <c r="B88" s="397"/>
      <c r="C88" s="272"/>
      <c r="D88" s="1683"/>
      <c r="E88" s="397"/>
      <c r="F88" s="1684"/>
      <c r="G88" s="397"/>
      <c r="H88" s="1685"/>
      <c r="I88" s="397"/>
      <c r="J88" s="1346"/>
      <c r="K88" s="861"/>
      <c r="L88" s="861"/>
      <c r="M88" s="861"/>
      <c r="N88" s="862"/>
      <c r="O88" s="397"/>
    </row>
    <row r="89" spans="1:16" ht="17.5">
      <c r="A89" s="397"/>
      <c r="B89" s="397"/>
      <c r="C89" s="397"/>
      <c r="D89" s="1683"/>
      <c r="E89" s="397"/>
      <c r="F89" s="397"/>
      <c r="G89" s="397"/>
      <c r="H89" s="1685"/>
      <c r="I89" s="397"/>
      <c r="J89" s="1346"/>
      <c r="K89" s="397"/>
      <c r="L89" s="397"/>
      <c r="M89" s="397"/>
      <c r="N89" s="863"/>
      <c r="O89" s="397"/>
    </row>
    <row r="90" spans="1:16" ht="18">
      <c r="A90" s="397"/>
      <c r="B90" s="743" t="s">
        <v>312</v>
      </c>
      <c r="C90" s="741" t="s">
        <v>444</v>
      </c>
      <c r="D90" s="1683"/>
      <c r="E90" s="397"/>
      <c r="F90" s="397"/>
      <c r="G90" s="397"/>
      <c r="H90" s="1685"/>
      <c r="I90" s="1685"/>
      <c r="J90" s="1686"/>
      <c r="K90" s="1685"/>
      <c r="L90" s="1685"/>
      <c r="M90" s="1685"/>
      <c r="N90" s="1685"/>
      <c r="O90" s="397"/>
      <c r="P90" s="865"/>
    </row>
    <row r="91" spans="1:16" ht="16" thickBot="1">
      <c r="A91" s="397"/>
      <c r="B91" s="397"/>
      <c r="C91" s="317"/>
      <c r="D91" s="1683"/>
      <c r="E91" s="397"/>
      <c r="F91" s="397"/>
      <c r="G91" s="397"/>
      <c r="H91" s="1685"/>
      <c r="I91" s="1685"/>
      <c r="J91" s="1686"/>
      <c r="K91" s="1685"/>
      <c r="L91" s="1685"/>
      <c r="M91" s="1685"/>
      <c r="N91" s="1685"/>
      <c r="O91" s="397"/>
      <c r="P91" s="397"/>
    </row>
    <row r="92" spans="1:16" ht="15.5">
      <c r="A92" s="397"/>
      <c r="B92" s="397"/>
      <c r="C92" s="866" t="s">
        <v>445</v>
      </c>
      <c r="D92" s="1683"/>
      <c r="E92" s="397"/>
      <c r="F92" s="397"/>
      <c r="G92" s="1687"/>
      <c r="H92" s="868"/>
      <c r="I92" s="397"/>
      <c r="J92" s="1346"/>
      <c r="K92" s="869" t="s">
        <v>479</v>
      </c>
      <c r="L92" s="870"/>
      <c r="M92" s="1688"/>
      <c r="N92" s="1689"/>
      <c r="O92" s="397"/>
      <c r="P92" s="397"/>
    </row>
    <row r="93" spans="1:16" ht="15.5">
      <c r="A93" s="397"/>
      <c r="B93" s="397"/>
      <c r="C93" s="873"/>
      <c r="D93" s="1683"/>
      <c r="E93" s="397"/>
      <c r="F93" s="397"/>
      <c r="G93" s="397"/>
      <c r="H93" s="1690"/>
      <c r="I93" s="1690"/>
      <c r="J93" s="1691"/>
      <c r="K93" s="876" t="s">
        <v>480</v>
      </c>
      <c r="L93" s="1692"/>
      <c r="M93" s="1346"/>
      <c r="N93" s="1693"/>
      <c r="O93" s="397"/>
      <c r="P93" s="397"/>
    </row>
    <row r="94" spans="1:16" ht="13.5" thickBot="1">
      <c r="A94" s="397"/>
      <c r="B94" s="397"/>
      <c r="C94" s="578" t="s">
        <v>446</v>
      </c>
      <c r="D94" s="879"/>
      <c r="E94" s="879"/>
      <c r="F94" s="879"/>
      <c r="G94" s="397"/>
      <c r="H94" s="1685"/>
      <c r="I94" s="1685"/>
      <c r="J94" s="1686"/>
      <c r="K94" s="1694" t="s">
        <v>447</v>
      </c>
      <c r="L94" s="1695"/>
      <c r="M94" s="1695"/>
      <c r="N94" s="1696">
        <f>+N93-N92</f>
        <v>0</v>
      </c>
      <c r="O94" s="397"/>
      <c r="P94" s="397"/>
    </row>
    <row r="95" spans="1:16" ht="13.5" thickBot="1">
      <c r="A95" s="397"/>
      <c r="B95" s="397"/>
      <c r="C95" s="883"/>
      <c r="D95" s="326"/>
      <c r="E95" s="338"/>
      <c r="F95" s="338"/>
      <c r="G95" s="338"/>
      <c r="H95" s="338"/>
      <c r="I95" s="338"/>
      <c r="J95" s="1627"/>
      <c r="K95" s="338"/>
      <c r="L95" s="338"/>
      <c r="M95" s="338"/>
      <c r="N95" s="338"/>
      <c r="O95" s="1627"/>
    </row>
    <row r="96" spans="1:16" ht="13.5" thickBot="1">
      <c r="A96" s="397"/>
      <c r="B96" s="397"/>
      <c r="C96" s="884" t="s">
        <v>448</v>
      </c>
      <c r="D96" s="885"/>
      <c r="E96" s="1697" t="s">
        <v>639</v>
      </c>
      <c r="F96" s="887"/>
      <c r="G96" s="887"/>
      <c r="H96" s="887"/>
      <c r="I96" s="888"/>
      <c r="J96" s="889"/>
      <c r="K96" s="397"/>
      <c r="L96" s="397"/>
      <c r="M96" s="397"/>
      <c r="N96" s="397"/>
      <c r="O96" s="1698"/>
      <c r="P96" s="1346"/>
    </row>
    <row r="97" spans="1:16" ht="13">
      <c r="A97" s="397"/>
      <c r="B97" s="397"/>
      <c r="C97" s="1699" t="s">
        <v>449</v>
      </c>
      <c r="D97" s="1700"/>
      <c r="E97" s="1661" t="s">
        <v>51</v>
      </c>
      <c r="F97" s="1698"/>
      <c r="G97" s="1701"/>
      <c r="H97" s="1701"/>
      <c r="I97" s="894">
        <f>+K19</f>
        <v>2019</v>
      </c>
      <c r="J97" s="889"/>
      <c r="K97" s="1686" t="s">
        <v>450</v>
      </c>
      <c r="L97" s="397"/>
      <c r="M97" s="397"/>
      <c r="N97" s="397"/>
      <c r="O97" s="1346"/>
      <c r="P97" s="1346"/>
    </row>
    <row r="98" spans="1:16">
      <c r="A98" s="397"/>
      <c r="B98" s="397"/>
      <c r="C98" s="1634" t="s">
        <v>451</v>
      </c>
      <c r="D98" s="1702"/>
      <c r="E98" s="1634" t="s">
        <v>452</v>
      </c>
      <c r="F98" s="1701"/>
      <c r="G98" s="1346"/>
      <c r="H98" s="1346"/>
      <c r="I98" s="1703">
        <f>+F12</f>
        <v>0</v>
      </c>
      <c r="J98" s="1704"/>
      <c r="K98" s="397" t="str">
        <f>"          INPUT PROJECTED ARR (WITH &amp; WITHOUT INCENTIVES) FROM EACH PRIOR YEAR"</f>
        <v xml:space="preserve">          INPUT PROJECTED ARR (WITH &amp; WITHOUT INCENTIVES) FROM EACH PRIOR YEAR</v>
      </c>
      <c r="L98" s="397"/>
      <c r="M98" s="397"/>
      <c r="N98" s="397"/>
      <c r="O98" s="1346"/>
      <c r="P98" s="1346"/>
    </row>
    <row r="99" spans="1:16">
      <c r="A99" s="397"/>
      <c r="B99" s="397"/>
      <c r="C99" s="1634" t="s">
        <v>453</v>
      </c>
      <c r="D99" s="1700">
        <v>0</v>
      </c>
      <c r="E99" s="1634" t="s">
        <v>454</v>
      </c>
      <c r="F99" s="1701"/>
      <c r="G99" s="1346"/>
      <c r="H99" s="1346"/>
      <c r="I99" s="1705">
        <f>+F77</f>
        <v>131082104357.01906</v>
      </c>
      <c r="J99" s="1657"/>
      <c r="K99" s="397" t="s">
        <v>455</v>
      </c>
      <c r="L99" s="397"/>
      <c r="M99" s="397"/>
      <c r="N99" s="397"/>
      <c r="O99" s="1346"/>
      <c r="P99" s="1346"/>
    </row>
    <row r="100" spans="1:16">
      <c r="A100" s="397"/>
      <c r="B100" s="397"/>
      <c r="C100" s="1634" t="s">
        <v>456</v>
      </c>
      <c r="D100" s="1700">
        <v>0</v>
      </c>
      <c r="E100" s="1634" t="s">
        <v>457</v>
      </c>
      <c r="F100" s="1701"/>
      <c r="G100" s="1346"/>
      <c r="H100" s="1346"/>
      <c r="I100" s="1705">
        <f>IF(G92="",I99,F76)</f>
        <v>131082104357.01906</v>
      </c>
      <c r="J100" s="1657"/>
      <c r="K100" s="1686" t="s">
        <v>458</v>
      </c>
      <c r="L100" s="1706"/>
      <c r="M100" s="1706"/>
      <c r="N100" s="1706"/>
      <c r="O100" s="1346"/>
      <c r="P100" s="1346"/>
    </row>
    <row r="101" spans="1:16" ht="13" thickBot="1">
      <c r="A101" s="397"/>
      <c r="B101" s="397"/>
      <c r="C101" s="1634" t="s">
        <v>459</v>
      </c>
      <c r="D101" s="1702"/>
      <c r="E101" s="1346" t="s">
        <v>460</v>
      </c>
      <c r="F101" s="1701"/>
      <c r="G101" s="1346"/>
      <c r="H101" s="1346"/>
      <c r="I101" s="1707">
        <f>IF(D97=0,0,D97/D100)</f>
        <v>0</v>
      </c>
      <c r="J101" s="1686"/>
      <c r="K101" s="1686"/>
      <c r="L101" s="1686"/>
      <c r="M101" s="1686"/>
      <c r="N101" s="1686"/>
      <c r="O101" s="1346"/>
      <c r="P101" s="1346"/>
    </row>
    <row r="102" spans="1:16" ht="66" customHeight="1">
      <c r="A102" s="397"/>
      <c r="B102" s="397"/>
      <c r="C102" s="901" t="s">
        <v>383</v>
      </c>
      <c r="D102" s="1708" t="s">
        <v>461</v>
      </c>
      <c r="E102" s="1708" t="s">
        <v>462</v>
      </c>
      <c r="F102" s="1708" t="s">
        <v>463</v>
      </c>
      <c r="G102" s="1709" t="s">
        <v>464</v>
      </c>
      <c r="H102" s="1710" t="s">
        <v>465</v>
      </c>
      <c r="I102" s="901" t="s">
        <v>466</v>
      </c>
      <c r="J102" s="905"/>
      <c r="K102" s="1711" t="s">
        <v>467</v>
      </c>
      <c r="L102" s="1712" t="s">
        <v>468</v>
      </c>
      <c r="M102" s="1711" t="s">
        <v>467</v>
      </c>
      <c r="N102" s="1712" t="s">
        <v>468</v>
      </c>
      <c r="O102" s="1713" t="s">
        <v>469</v>
      </c>
      <c r="P102" s="1346"/>
    </row>
    <row r="103" spans="1:16" ht="15" customHeight="1" thickBot="1">
      <c r="A103" s="397"/>
      <c r="B103" s="397"/>
      <c r="C103" s="909" t="s">
        <v>470</v>
      </c>
      <c r="D103" s="910" t="s">
        <v>315</v>
      </c>
      <c r="E103" s="910" t="s">
        <v>214</v>
      </c>
      <c r="F103" s="910" t="s">
        <v>315</v>
      </c>
      <c r="G103" s="1714" t="s">
        <v>471</v>
      </c>
      <c r="H103" s="1715" t="s">
        <v>472</v>
      </c>
      <c r="I103" s="913" t="s">
        <v>632</v>
      </c>
      <c r="J103" s="914" t="s">
        <v>473</v>
      </c>
      <c r="K103" s="1716" t="s">
        <v>474</v>
      </c>
      <c r="L103" s="1717" t="s">
        <v>474</v>
      </c>
      <c r="M103" s="1716" t="s">
        <v>633</v>
      </c>
      <c r="N103" s="1718" t="s">
        <v>633</v>
      </c>
      <c r="O103" s="1716" t="s">
        <v>633</v>
      </c>
      <c r="P103" s="1346"/>
    </row>
    <row r="104" spans="1:16">
      <c r="A104" s="397"/>
      <c r="B104" s="1683"/>
      <c r="C104" s="1719" t="str">
        <f>IF(D98= "","-",D98)</f>
        <v>-</v>
      </c>
      <c r="D104" s="1720">
        <f>D97</f>
        <v>0</v>
      </c>
      <c r="E104" s="1721">
        <f>I101/12*(12-D99)</f>
        <v>0</v>
      </c>
      <c r="F104" s="1720">
        <f t="shared" ref="F104:F159" si="2">+D104-E104</f>
        <v>0</v>
      </c>
      <c r="G104" s="1721">
        <f>+I99*F104+E104</f>
        <v>0</v>
      </c>
      <c r="H104" s="1707">
        <f>+I100*F104+E104</f>
        <v>0</v>
      </c>
      <c r="I104" s="1722">
        <f t="shared" ref="I104:I159" si="3">H104-G104</f>
        <v>0</v>
      </c>
      <c r="J104" s="1722"/>
      <c r="K104" s="1723"/>
      <c r="L104" s="1724">
        <f t="shared" ref="L104:L159" si="4">IF(K104&lt;&gt;0,+G104-K104,0)</f>
        <v>0</v>
      </c>
      <c r="M104" s="1723"/>
      <c r="N104" s="1724">
        <f t="shared" ref="N104:N159" si="5">IF(M104&lt;&gt;0,+H104-M104,0)</f>
        <v>0</v>
      </c>
      <c r="O104" s="1725">
        <f t="shared" ref="O104:O159" si="6">+N104-L104</f>
        <v>0</v>
      </c>
      <c r="P104" s="1346"/>
    </row>
    <row r="105" spans="1:16">
      <c r="A105" s="397"/>
      <c r="B105" s="1683" t="str">
        <f>IF(D105=F104,"","IU")</f>
        <v/>
      </c>
      <c r="C105" s="1719" t="str">
        <f>IF(D98="","-",+C104+1)</f>
        <v>-</v>
      </c>
      <c r="D105" s="1726">
        <f t="shared" ref="D105:D159" si="7">F104</f>
        <v>0</v>
      </c>
      <c r="E105" s="1727">
        <f>IF(+I101&lt;F104,I101,D105)</f>
        <v>0</v>
      </c>
      <c r="F105" s="1726">
        <f t="shared" si="2"/>
        <v>0</v>
      </c>
      <c r="G105" s="1727">
        <f>+I$11*F105+E105</f>
        <v>0</v>
      </c>
      <c r="H105" s="1707">
        <f>+I$12*F105+E105</f>
        <v>0</v>
      </c>
      <c r="I105" s="1722">
        <f t="shared" si="3"/>
        <v>0</v>
      </c>
      <c r="J105" s="1722"/>
      <c r="K105" s="1728"/>
      <c r="L105" s="1725">
        <f t="shared" si="4"/>
        <v>0</v>
      </c>
      <c r="M105" s="1728"/>
      <c r="N105" s="1725">
        <f t="shared" si="5"/>
        <v>0</v>
      </c>
      <c r="O105" s="1725">
        <f t="shared" si="6"/>
        <v>0</v>
      </c>
      <c r="P105" s="1346"/>
    </row>
    <row r="106" spans="1:16">
      <c r="A106" s="397"/>
      <c r="B106" s="1683" t="str">
        <f>IF(D106=F105,"","IU")</f>
        <v/>
      </c>
      <c r="C106" s="1719" t="str">
        <f>IF(D98="","-",+C105+1)</f>
        <v>-</v>
      </c>
      <c r="D106" s="1726">
        <f t="shared" si="7"/>
        <v>0</v>
      </c>
      <c r="E106" s="1727">
        <f>IF(+I101&lt;F105,I101,D106)</f>
        <v>0</v>
      </c>
      <c r="F106" s="1726">
        <f t="shared" si="2"/>
        <v>0</v>
      </c>
      <c r="G106" s="1727">
        <f t="shared" ref="G106:G159" si="8">+I$11*F106+E106</f>
        <v>0</v>
      </c>
      <c r="H106" s="1707">
        <f t="shared" ref="H106:H159" si="9">+I$12*F106+E106</f>
        <v>0</v>
      </c>
      <c r="I106" s="1722">
        <f t="shared" si="3"/>
        <v>0</v>
      </c>
      <c r="J106" s="1722"/>
      <c r="K106" s="1728"/>
      <c r="L106" s="1725">
        <f t="shared" si="4"/>
        <v>0</v>
      </c>
      <c r="M106" s="1728"/>
      <c r="N106" s="1725">
        <f t="shared" si="5"/>
        <v>0</v>
      </c>
      <c r="O106" s="1725">
        <f t="shared" si="6"/>
        <v>0</v>
      </c>
      <c r="P106" s="1346"/>
    </row>
    <row r="107" spans="1:16">
      <c r="A107" s="397"/>
      <c r="B107" s="1683" t="str">
        <f t="shared" ref="B107:B159" si="10">IF(D107=F106,"","IU")</f>
        <v/>
      </c>
      <c r="C107" s="1719" t="str">
        <f>IF(D98="","-",+C106+1)</f>
        <v>-</v>
      </c>
      <c r="D107" s="1726">
        <f t="shared" si="7"/>
        <v>0</v>
      </c>
      <c r="E107" s="1727">
        <f>IF(+I101&lt;F106,I101,D107)</f>
        <v>0</v>
      </c>
      <c r="F107" s="1726">
        <f t="shared" si="2"/>
        <v>0</v>
      </c>
      <c r="G107" s="1727">
        <f t="shared" si="8"/>
        <v>0</v>
      </c>
      <c r="H107" s="1707">
        <f t="shared" si="9"/>
        <v>0</v>
      </c>
      <c r="I107" s="1722">
        <f t="shared" si="3"/>
        <v>0</v>
      </c>
      <c r="J107" s="1722"/>
      <c r="K107" s="1728"/>
      <c r="L107" s="1725">
        <f t="shared" si="4"/>
        <v>0</v>
      </c>
      <c r="M107" s="1728"/>
      <c r="N107" s="1725">
        <f t="shared" si="5"/>
        <v>0</v>
      </c>
      <c r="O107" s="1725">
        <f t="shared" si="6"/>
        <v>0</v>
      </c>
      <c r="P107" s="1346"/>
    </row>
    <row r="108" spans="1:16">
      <c r="A108" s="397"/>
      <c r="B108" s="1683" t="str">
        <f t="shared" si="10"/>
        <v/>
      </c>
      <c r="C108" s="1719" t="str">
        <f>IF(D98="","-",+C107+1)</f>
        <v>-</v>
      </c>
      <c r="D108" s="1726">
        <f t="shared" si="7"/>
        <v>0</v>
      </c>
      <c r="E108" s="1727">
        <f>IF(+I101&lt;F107,I101,D108)</f>
        <v>0</v>
      </c>
      <c r="F108" s="1726">
        <f t="shared" si="2"/>
        <v>0</v>
      </c>
      <c r="G108" s="1727">
        <f t="shared" si="8"/>
        <v>0</v>
      </c>
      <c r="H108" s="1707">
        <f t="shared" si="9"/>
        <v>0</v>
      </c>
      <c r="I108" s="1722">
        <f t="shared" si="3"/>
        <v>0</v>
      </c>
      <c r="J108" s="1722"/>
      <c r="K108" s="1728"/>
      <c r="L108" s="1725">
        <f t="shared" si="4"/>
        <v>0</v>
      </c>
      <c r="M108" s="1728"/>
      <c r="N108" s="1725">
        <f t="shared" si="5"/>
        <v>0</v>
      </c>
      <c r="O108" s="1725">
        <f t="shared" si="6"/>
        <v>0</v>
      </c>
      <c r="P108" s="1346"/>
    </row>
    <row r="109" spans="1:16">
      <c r="A109" s="397"/>
      <c r="B109" s="1683" t="str">
        <f t="shared" si="10"/>
        <v/>
      </c>
      <c r="C109" s="1719" t="str">
        <f>IF(D98="","-",+C108+1)</f>
        <v>-</v>
      </c>
      <c r="D109" s="1726">
        <f t="shared" si="7"/>
        <v>0</v>
      </c>
      <c r="E109" s="1727">
        <f>IF(+I101&lt;F108,I101,D109)</f>
        <v>0</v>
      </c>
      <c r="F109" s="1726">
        <f t="shared" si="2"/>
        <v>0</v>
      </c>
      <c r="G109" s="1727">
        <f t="shared" si="8"/>
        <v>0</v>
      </c>
      <c r="H109" s="1707">
        <f t="shared" si="9"/>
        <v>0</v>
      </c>
      <c r="I109" s="1722">
        <f t="shared" si="3"/>
        <v>0</v>
      </c>
      <c r="J109" s="1722"/>
      <c r="K109" s="1728"/>
      <c r="L109" s="1725">
        <f t="shared" si="4"/>
        <v>0</v>
      </c>
      <c r="M109" s="1728"/>
      <c r="N109" s="1725">
        <f t="shared" si="5"/>
        <v>0</v>
      </c>
      <c r="O109" s="1725">
        <f t="shared" si="6"/>
        <v>0</v>
      </c>
      <c r="P109" s="1346"/>
    </row>
    <row r="110" spans="1:16">
      <c r="A110" s="397"/>
      <c r="B110" s="1683" t="str">
        <f t="shared" si="10"/>
        <v/>
      </c>
      <c r="C110" s="1719" t="str">
        <f>IF(D98="","-",+C109+1)</f>
        <v>-</v>
      </c>
      <c r="D110" s="1726">
        <f t="shared" si="7"/>
        <v>0</v>
      </c>
      <c r="E110" s="1727">
        <f>IF(+I101&lt;F109,I101,D110)</f>
        <v>0</v>
      </c>
      <c r="F110" s="1726">
        <f t="shared" si="2"/>
        <v>0</v>
      </c>
      <c r="G110" s="1727">
        <f t="shared" si="8"/>
        <v>0</v>
      </c>
      <c r="H110" s="1707">
        <f t="shared" si="9"/>
        <v>0</v>
      </c>
      <c r="I110" s="1722">
        <f t="shared" si="3"/>
        <v>0</v>
      </c>
      <c r="J110" s="1722"/>
      <c r="K110" s="1728"/>
      <c r="L110" s="1725">
        <f t="shared" si="4"/>
        <v>0</v>
      </c>
      <c r="M110" s="1728"/>
      <c r="N110" s="1725">
        <f t="shared" si="5"/>
        <v>0</v>
      </c>
      <c r="O110" s="1725">
        <f t="shared" si="6"/>
        <v>0</v>
      </c>
      <c r="P110" s="1346"/>
    </row>
    <row r="111" spans="1:16">
      <c r="A111" s="397"/>
      <c r="B111" s="1683" t="str">
        <f t="shared" si="10"/>
        <v/>
      </c>
      <c r="C111" s="1719" t="str">
        <f>IF(D98="","-",+C110+1)</f>
        <v>-</v>
      </c>
      <c r="D111" s="1726">
        <f t="shared" si="7"/>
        <v>0</v>
      </c>
      <c r="E111" s="1727">
        <f>IF(+I101&lt;F110,I101,D111)</f>
        <v>0</v>
      </c>
      <c r="F111" s="1726">
        <f t="shared" si="2"/>
        <v>0</v>
      </c>
      <c r="G111" s="1727">
        <f t="shared" si="8"/>
        <v>0</v>
      </c>
      <c r="H111" s="1707">
        <f t="shared" si="9"/>
        <v>0</v>
      </c>
      <c r="I111" s="1722">
        <f t="shared" si="3"/>
        <v>0</v>
      </c>
      <c r="J111" s="1722"/>
      <c r="K111" s="1728"/>
      <c r="L111" s="1725">
        <f t="shared" si="4"/>
        <v>0</v>
      </c>
      <c r="M111" s="1728"/>
      <c r="N111" s="1725">
        <f t="shared" si="5"/>
        <v>0</v>
      </c>
      <c r="O111" s="1725">
        <f t="shared" si="6"/>
        <v>0</v>
      </c>
      <c r="P111" s="1346"/>
    </row>
    <row r="112" spans="1:16">
      <c r="A112" s="397"/>
      <c r="B112" s="1683" t="str">
        <f t="shared" si="10"/>
        <v/>
      </c>
      <c r="C112" s="1719" t="str">
        <f>IF(D98="","-",+C111+1)</f>
        <v>-</v>
      </c>
      <c r="D112" s="1726">
        <f t="shared" si="7"/>
        <v>0</v>
      </c>
      <c r="E112" s="1727">
        <f>IF(+I101&lt;F111,I101,D112)</f>
        <v>0</v>
      </c>
      <c r="F112" s="1726">
        <f t="shared" si="2"/>
        <v>0</v>
      </c>
      <c r="G112" s="1727">
        <f t="shared" si="8"/>
        <v>0</v>
      </c>
      <c r="H112" s="1707">
        <f t="shared" si="9"/>
        <v>0</v>
      </c>
      <c r="I112" s="1722">
        <f t="shared" si="3"/>
        <v>0</v>
      </c>
      <c r="J112" s="1722"/>
      <c r="K112" s="1728"/>
      <c r="L112" s="1725">
        <f t="shared" si="4"/>
        <v>0</v>
      </c>
      <c r="M112" s="1728"/>
      <c r="N112" s="1725">
        <f t="shared" si="5"/>
        <v>0</v>
      </c>
      <c r="O112" s="1725">
        <f t="shared" si="6"/>
        <v>0</v>
      </c>
      <c r="P112" s="1346"/>
    </row>
    <row r="113" spans="1:16">
      <c r="A113" s="397"/>
      <c r="B113" s="1683" t="str">
        <f t="shared" si="10"/>
        <v/>
      </c>
      <c r="C113" s="1719" t="str">
        <f>IF(D98="","-",+C112+1)</f>
        <v>-</v>
      </c>
      <c r="D113" s="1726">
        <f t="shared" si="7"/>
        <v>0</v>
      </c>
      <c r="E113" s="1727">
        <f>IF(+I101&lt;F112,I101,D113)</f>
        <v>0</v>
      </c>
      <c r="F113" s="1726">
        <f t="shared" si="2"/>
        <v>0</v>
      </c>
      <c r="G113" s="1727">
        <f t="shared" si="8"/>
        <v>0</v>
      </c>
      <c r="H113" s="1707">
        <f t="shared" si="9"/>
        <v>0</v>
      </c>
      <c r="I113" s="1722">
        <f t="shared" si="3"/>
        <v>0</v>
      </c>
      <c r="J113" s="1722"/>
      <c r="K113" s="1728"/>
      <c r="L113" s="1725">
        <f t="shared" si="4"/>
        <v>0</v>
      </c>
      <c r="M113" s="1728"/>
      <c r="N113" s="1725">
        <f t="shared" si="5"/>
        <v>0</v>
      </c>
      <c r="O113" s="1725">
        <f t="shared" si="6"/>
        <v>0</v>
      </c>
      <c r="P113" s="1346"/>
    </row>
    <row r="114" spans="1:16">
      <c r="A114" s="397"/>
      <c r="B114" s="1683" t="str">
        <f t="shared" si="10"/>
        <v/>
      </c>
      <c r="C114" s="1719" t="str">
        <f>IF(D98="","-",+C113+1)</f>
        <v>-</v>
      </c>
      <c r="D114" s="1729">
        <f t="shared" si="7"/>
        <v>0</v>
      </c>
      <c r="E114" s="1727">
        <f>IF(+I101&lt;F113,I101,D114)</f>
        <v>0</v>
      </c>
      <c r="F114" s="1726">
        <f t="shared" si="2"/>
        <v>0</v>
      </c>
      <c r="G114" s="1727">
        <f t="shared" si="8"/>
        <v>0</v>
      </c>
      <c r="H114" s="1707">
        <f t="shared" si="9"/>
        <v>0</v>
      </c>
      <c r="I114" s="1722">
        <f t="shared" si="3"/>
        <v>0</v>
      </c>
      <c r="J114" s="1722"/>
      <c r="K114" s="1728"/>
      <c r="L114" s="1725">
        <f t="shared" si="4"/>
        <v>0</v>
      </c>
      <c r="M114" s="1728"/>
      <c r="N114" s="1725">
        <f t="shared" si="5"/>
        <v>0</v>
      </c>
      <c r="O114" s="1725">
        <f t="shared" si="6"/>
        <v>0</v>
      </c>
      <c r="P114" s="1346"/>
    </row>
    <row r="115" spans="1:16">
      <c r="A115" s="397"/>
      <c r="B115" s="1683" t="str">
        <f t="shared" si="10"/>
        <v/>
      </c>
      <c r="C115" s="1719" t="str">
        <f>IF(D98="","-",+C114+1)</f>
        <v>-</v>
      </c>
      <c r="D115" s="1726">
        <f t="shared" si="7"/>
        <v>0</v>
      </c>
      <c r="E115" s="1727">
        <f>IF(+I101&lt;F114,I101,D115)</f>
        <v>0</v>
      </c>
      <c r="F115" s="1726">
        <f t="shared" si="2"/>
        <v>0</v>
      </c>
      <c r="G115" s="1727">
        <f t="shared" si="8"/>
        <v>0</v>
      </c>
      <c r="H115" s="1707">
        <f t="shared" si="9"/>
        <v>0</v>
      </c>
      <c r="I115" s="1722">
        <f t="shared" si="3"/>
        <v>0</v>
      </c>
      <c r="J115" s="1722"/>
      <c r="K115" s="1728"/>
      <c r="L115" s="1725">
        <f t="shared" si="4"/>
        <v>0</v>
      </c>
      <c r="M115" s="1728"/>
      <c r="N115" s="1725">
        <f t="shared" si="5"/>
        <v>0</v>
      </c>
      <c r="O115" s="1725">
        <f t="shared" si="6"/>
        <v>0</v>
      </c>
      <c r="P115" s="1346"/>
    </row>
    <row r="116" spans="1:16">
      <c r="A116" s="397"/>
      <c r="B116" s="1683" t="str">
        <f t="shared" si="10"/>
        <v/>
      </c>
      <c r="C116" s="1719" t="str">
        <f>IF(D98="","-",+C115+1)</f>
        <v>-</v>
      </c>
      <c r="D116" s="1726">
        <f t="shared" si="7"/>
        <v>0</v>
      </c>
      <c r="E116" s="1727">
        <f>IF(+I101&lt;F115,I101,D116)</f>
        <v>0</v>
      </c>
      <c r="F116" s="1726">
        <f t="shared" si="2"/>
        <v>0</v>
      </c>
      <c r="G116" s="1727">
        <f t="shared" si="8"/>
        <v>0</v>
      </c>
      <c r="H116" s="1707">
        <f t="shared" si="9"/>
        <v>0</v>
      </c>
      <c r="I116" s="1722">
        <f t="shared" si="3"/>
        <v>0</v>
      </c>
      <c r="J116" s="1722"/>
      <c r="K116" s="1728"/>
      <c r="L116" s="1725">
        <f t="shared" si="4"/>
        <v>0</v>
      </c>
      <c r="M116" s="1728"/>
      <c r="N116" s="1725">
        <f t="shared" si="5"/>
        <v>0</v>
      </c>
      <c r="O116" s="1725">
        <f t="shared" si="6"/>
        <v>0</v>
      </c>
      <c r="P116" s="1346"/>
    </row>
    <row r="117" spans="1:16">
      <c r="A117" s="397"/>
      <c r="B117" s="1683" t="str">
        <f t="shared" si="10"/>
        <v/>
      </c>
      <c r="C117" s="1719" t="str">
        <f>IF(D98="","-",+C116+1)</f>
        <v>-</v>
      </c>
      <c r="D117" s="1726">
        <f t="shared" si="7"/>
        <v>0</v>
      </c>
      <c r="E117" s="1727">
        <f>IF(+I101&lt;F116,I101,D117)</f>
        <v>0</v>
      </c>
      <c r="F117" s="1726">
        <f t="shared" si="2"/>
        <v>0</v>
      </c>
      <c r="G117" s="1727">
        <f t="shared" si="8"/>
        <v>0</v>
      </c>
      <c r="H117" s="1707">
        <f t="shared" si="9"/>
        <v>0</v>
      </c>
      <c r="I117" s="1722">
        <f t="shared" si="3"/>
        <v>0</v>
      </c>
      <c r="J117" s="1722"/>
      <c r="K117" s="1728"/>
      <c r="L117" s="1725">
        <f t="shared" si="4"/>
        <v>0</v>
      </c>
      <c r="M117" s="1728"/>
      <c r="N117" s="1725">
        <f t="shared" si="5"/>
        <v>0</v>
      </c>
      <c r="O117" s="1725">
        <f t="shared" si="6"/>
        <v>0</v>
      </c>
      <c r="P117" s="1346"/>
    </row>
    <row r="118" spans="1:16">
      <c r="A118" s="397"/>
      <c r="B118" s="1683" t="str">
        <f t="shared" si="10"/>
        <v/>
      </c>
      <c r="C118" s="1719" t="str">
        <f>IF(D98="","-",+C117+1)</f>
        <v>-</v>
      </c>
      <c r="D118" s="1726">
        <f t="shared" si="7"/>
        <v>0</v>
      </c>
      <c r="E118" s="1727">
        <f>IF(+I101&lt;F117,I101,D118)</f>
        <v>0</v>
      </c>
      <c r="F118" s="1726">
        <f t="shared" si="2"/>
        <v>0</v>
      </c>
      <c r="G118" s="1727">
        <f t="shared" si="8"/>
        <v>0</v>
      </c>
      <c r="H118" s="1707">
        <f t="shared" si="9"/>
        <v>0</v>
      </c>
      <c r="I118" s="1722">
        <f t="shared" si="3"/>
        <v>0</v>
      </c>
      <c r="J118" s="1722"/>
      <c r="K118" s="1728"/>
      <c r="L118" s="1725">
        <f t="shared" si="4"/>
        <v>0</v>
      </c>
      <c r="M118" s="1728"/>
      <c r="N118" s="1725">
        <f t="shared" si="5"/>
        <v>0</v>
      </c>
      <c r="O118" s="1725">
        <f t="shared" si="6"/>
        <v>0</v>
      </c>
      <c r="P118" s="1346"/>
    </row>
    <row r="119" spans="1:16">
      <c r="A119" s="397"/>
      <c r="B119" s="1683" t="str">
        <f t="shared" si="10"/>
        <v/>
      </c>
      <c r="C119" s="1719" t="str">
        <f>IF(D98="","-",+C118+1)</f>
        <v>-</v>
      </c>
      <c r="D119" s="1726">
        <f t="shared" si="7"/>
        <v>0</v>
      </c>
      <c r="E119" s="1727">
        <f>IF(+I101&lt;F118,I101,D119)</f>
        <v>0</v>
      </c>
      <c r="F119" s="1726">
        <f t="shared" si="2"/>
        <v>0</v>
      </c>
      <c r="G119" s="1727">
        <f t="shared" si="8"/>
        <v>0</v>
      </c>
      <c r="H119" s="1707">
        <f t="shared" si="9"/>
        <v>0</v>
      </c>
      <c r="I119" s="1722">
        <f t="shared" si="3"/>
        <v>0</v>
      </c>
      <c r="J119" s="1722"/>
      <c r="K119" s="1728"/>
      <c r="L119" s="1725">
        <f t="shared" si="4"/>
        <v>0</v>
      </c>
      <c r="M119" s="1728"/>
      <c r="N119" s="1725">
        <f t="shared" si="5"/>
        <v>0</v>
      </c>
      <c r="O119" s="1725">
        <f t="shared" si="6"/>
        <v>0</v>
      </c>
      <c r="P119" s="1346"/>
    </row>
    <row r="120" spans="1:16">
      <c r="A120" s="397"/>
      <c r="B120" s="1683" t="str">
        <f t="shared" si="10"/>
        <v/>
      </c>
      <c r="C120" s="1719" t="str">
        <f>IF(D98="","-",+C119+1)</f>
        <v>-</v>
      </c>
      <c r="D120" s="1726">
        <f t="shared" si="7"/>
        <v>0</v>
      </c>
      <c r="E120" s="1727">
        <f>IF(+I101&lt;F119,I101,D120)</f>
        <v>0</v>
      </c>
      <c r="F120" s="1726">
        <f t="shared" si="2"/>
        <v>0</v>
      </c>
      <c r="G120" s="1727">
        <f t="shared" si="8"/>
        <v>0</v>
      </c>
      <c r="H120" s="1707">
        <f t="shared" si="9"/>
        <v>0</v>
      </c>
      <c r="I120" s="1722">
        <f t="shared" si="3"/>
        <v>0</v>
      </c>
      <c r="J120" s="1722"/>
      <c r="K120" s="1728"/>
      <c r="L120" s="1725">
        <f t="shared" si="4"/>
        <v>0</v>
      </c>
      <c r="M120" s="1728"/>
      <c r="N120" s="1725">
        <f t="shared" si="5"/>
        <v>0</v>
      </c>
      <c r="O120" s="1725">
        <f t="shared" si="6"/>
        <v>0</v>
      </c>
      <c r="P120" s="1346"/>
    </row>
    <row r="121" spans="1:16">
      <c r="A121" s="397"/>
      <c r="B121" s="1683" t="str">
        <f t="shared" si="10"/>
        <v/>
      </c>
      <c r="C121" s="1719" t="str">
        <f>IF(D98="","-",+C120+1)</f>
        <v>-</v>
      </c>
      <c r="D121" s="1726">
        <f t="shared" si="7"/>
        <v>0</v>
      </c>
      <c r="E121" s="1727">
        <f>IF(+I101&lt;F120,I101,D121)</f>
        <v>0</v>
      </c>
      <c r="F121" s="1726">
        <f t="shared" si="2"/>
        <v>0</v>
      </c>
      <c r="G121" s="1727">
        <f t="shared" si="8"/>
        <v>0</v>
      </c>
      <c r="H121" s="1707">
        <f t="shared" si="9"/>
        <v>0</v>
      </c>
      <c r="I121" s="1722">
        <f t="shared" si="3"/>
        <v>0</v>
      </c>
      <c r="J121" s="1722"/>
      <c r="K121" s="1728"/>
      <c r="L121" s="1725">
        <f t="shared" si="4"/>
        <v>0</v>
      </c>
      <c r="M121" s="1728"/>
      <c r="N121" s="1725">
        <f t="shared" si="5"/>
        <v>0</v>
      </c>
      <c r="O121" s="1725">
        <f t="shared" si="6"/>
        <v>0</v>
      </c>
      <c r="P121" s="1346"/>
    </row>
    <row r="122" spans="1:16">
      <c r="A122" s="397"/>
      <c r="B122" s="1683" t="str">
        <f t="shared" si="10"/>
        <v/>
      </c>
      <c r="C122" s="1719" t="str">
        <f>IF(D98="","-",+C121+1)</f>
        <v>-</v>
      </c>
      <c r="D122" s="1726">
        <f t="shared" si="7"/>
        <v>0</v>
      </c>
      <c r="E122" s="1727">
        <f>IF(+I101&lt;F121,I101,D122)</f>
        <v>0</v>
      </c>
      <c r="F122" s="1726">
        <f t="shared" si="2"/>
        <v>0</v>
      </c>
      <c r="G122" s="1727">
        <f t="shared" si="8"/>
        <v>0</v>
      </c>
      <c r="H122" s="1707">
        <f t="shared" si="9"/>
        <v>0</v>
      </c>
      <c r="I122" s="1722">
        <f t="shared" si="3"/>
        <v>0</v>
      </c>
      <c r="J122" s="1722"/>
      <c r="K122" s="1728"/>
      <c r="L122" s="1725">
        <f t="shared" si="4"/>
        <v>0</v>
      </c>
      <c r="M122" s="1728"/>
      <c r="N122" s="1725">
        <f t="shared" si="5"/>
        <v>0</v>
      </c>
      <c r="O122" s="1725">
        <f t="shared" si="6"/>
        <v>0</v>
      </c>
      <c r="P122" s="1346"/>
    </row>
    <row r="123" spans="1:16">
      <c r="A123" s="397"/>
      <c r="B123" s="1683" t="str">
        <f t="shared" si="10"/>
        <v/>
      </c>
      <c r="C123" s="1719" t="str">
        <f>IF(D98="","-",+C122+1)</f>
        <v>-</v>
      </c>
      <c r="D123" s="1726">
        <f t="shared" si="7"/>
        <v>0</v>
      </c>
      <c r="E123" s="1727">
        <f>IF(+I101&lt;F122,I101,D123)</f>
        <v>0</v>
      </c>
      <c r="F123" s="1726">
        <f t="shared" si="2"/>
        <v>0</v>
      </c>
      <c r="G123" s="1727">
        <f t="shared" si="8"/>
        <v>0</v>
      </c>
      <c r="H123" s="1707">
        <f t="shared" si="9"/>
        <v>0</v>
      </c>
      <c r="I123" s="1722">
        <f t="shared" si="3"/>
        <v>0</v>
      </c>
      <c r="J123" s="1722"/>
      <c r="K123" s="1728"/>
      <c r="L123" s="1725">
        <f t="shared" si="4"/>
        <v>0</v>
      </c>
      <c r="M123" s="1728"/>
      <c r="N123" s="1725">
        <f t="shared" si="5"/>
        <v>0</v>
      </c>
      <c r="O123" s="1725">
        <f t="shared" si="6"/>
        <v>0</v>
      </c>
      <c r="P123" s="1346"/>
    </row>
    <row r="124" spans="1:16">
      <c r="A124" s="397"/>
      <c r="B124" s="1683" t="str">
        <f t="shared" si="10"/>
        <v/>
      </c>
      <c r="C124" s="1719" t="str">
        <f>IF(D98="","-",+C123+1)</f>
        <v>-</v>
      </c>
      <c r="D124" s="1726">
        <f t="shared" si="7"/>
        <v>0</v>
      </c>
      <c r="E124" s="1727">
        <f>IF(+I101&lt;F123,I101,D124)</f>
        <v>0</v>
      </c>
      <c r="F124" s="1726">
        <f t="shared" si="2"/>
        <v>0</v>
      </c>
      <c r="G124" s="1727">
        <f t="shared" si="8"/>
        <v>0</v>
      </c>
      <c r="H124" s="1707">
        <f t="shared" si="9"/>
        <v>0</v>
      </c>
      <c r="I124" s="1722">
        <f t="shared" si="3"/>
        <v>0</v>
      </c>
      <c r="J124" s="1722"/>
      <c r="K124" s="1728"/>
      <c r="L124" s="1725">
        <f t="shared" si="4"/>
        <v>0</v>
      </c>
      <c r="M124" s="1728"/>
      <c r="N124" s="1725">
        <f t="shared" si="5"/>
        <v>0</v>
      </c>
      <c r="O124" s="1725">
        <f t="shared" si="6"/>
        <v>0</v>
      </c>
      <c r="P124" s="1346"/>
    </row>
    <row r="125" spans="1:16">
      <c r="A125" s="397"/>
      <c r="B125" s="1683" t="str">
        <f t="shared" si="10"/>
        <v/>
      </c>
      <c r="C125" s="1719" t="str">
        <f>IF(D98="","-",+C124+1)</f>
        <v>-</v>
      </c>
      <c r="D125" s="1726">
        <f t="shared" si="7"/>
        <v>0</v>
      </c>
      <c r="E125" s="1727">
        <f>IF(+I101&lt;F124,I101,D125)</f>
        <v>0</v>
      </c>
      <c r="F125" s="1726">
        <f t="shared" si="2"/>
        <v>0</v>
      </c>
      <c r="G125" s="1727">
        <f t="shared" si="8"/>
        <v>0</v>
      </c>
      <c r="H125" s="1707">
        <f t="shared" si="9"/>
        <v>0</v>
      </c>
      <c r="I125" s="1722">
        <f t="shared" si="3"/>
        <v>0</v>
      </c>
      <c r="J125" s="1722"/>
      <c r="K125" s="1728"/>
      <c r="L125" s="1725">
        <f t="shared" si="4"/>
        <v>0</v>
      </c>
      <c r="M125" s="1728"/>
      <c r="N125" s="1725">
        <f t="shared" si="5"/>
        <v>0</v>
      </c>
      <c r="O125" s="1725">
        <f t="shared" si="6"/>
        <v>0</v>
      </c>
      <c r="P125" s="1346"/>
    </row>
    <row r="126" spans="1:16">
      <c r="A126" s="397"/>
      <c r="B126" s="1683" t="str">
        <f t="shared" si="10"/>
        <v/>
      </c>
      <c r="C126" s="1719" t="str">
        <f>IF(D98="","-",+C125+1)</f>
        <v>-</v>
      </c>
      <c r="D126" s="1726">
        <f t="shared" si="7"/>
        <v>0</v>
      </c>
      <c r="E126" s="1727">
        <f>IF(+I101&lt;F125,I101,D126)</f>
        <v>0</v>
      </c>
      <c r="F126" s="1726">
        <f t="shared" si="2"/>
        <v>0</v>
      </c>
      <c r="G126" s="1727">
        <f t="shared" si="8"/>
        <v>0</v>
      </c>
      <c r="H126" s="1707">
        <f t="shared" si="9"/>
        <v>0</v>
      </c>
      <c r="I126" s="1722">
        <f t="shared" si="3"/>
        <v>0</v>
      </c>
      <c r="J126" s="1722"/>
      <c r="K126" s="1728"/>
      <c r="L126" s="1725">
        <f t="shared" si="4"/>
        <v>0</v>
      </c>
      <c r="M126" s="1728"/>
      <c r="N126" s="1725">
        <f t="shared" si="5"/>
        <v>0</v>
      </c>
      <c r="O126" s="1725">
        <f t="shared" si="6"/>
        <v>0</v>
      </c>
      <c r="P126" s="1346"/>
    </row>
    <row r="127" spans="1:16">
      <c r="A127" s="397"/>
      <c r="B127" s="1683" t="str">
        <f t="shared" si="10"/>
        <v/>
      </c>
      <c r="C127" s="1719" t="str">
        <f>IF(D98="","-",+C126+1)</f>
        <v>-</v>
      </c>
      <c r="D127" s="1726">
        <f t="shared" si="7"/>
        <v>0</v>
      </c>
      <c r="E127" s="1727">
        <f>IF(+I101&lt;F126,I101,D127)</f>
        <v>0</v>
      </c>
      <c r="F127" s="1726">
        <f t="shared" si="2"/>
        <v>0</v>
      </c>
      <c r="G127" s="1727">
        <f t="shared" si="8"/>
        <v>0</v>
      </c>
      <c r="H127" s="1707">
        <f t="shared" si="9"/>
        <v>0</v>
      </c>
      <c r="I127" s="1722">
        <f t="shared" si="3"/>
        <v>0</v>
      </c>
      <c r="J127" s="1722"/>
      <c r="K127" s="1728"/>
      <c r="L127" s="1725">
        <f t="shared" si="4"/>
        <v>0</v>
      </c>
      <c r="M127" s="1728"/>
      <c r="N127" s="1725">
        <f t="shared" si="5"/>
        <v>0</v>
      </c>
      <c r="O127" s="1725">
        <f t="shared" si="6"/>
        <v>0</v>
      </c>
      <c r="P127" s="1346"/>
    </row>
    <row r="128" spans="1:16">
      <c r="A128" s="397"/>
      <c r="B128" s="1683" t="str">
        <f t="shared" si="10"/>
        <v/>
      </c>
      <c r="C128" s="1719" t="str">
        <f>IF(D98="","-",+C127+1)</f>
        <v>-</v>
      </c>
      <c r="D128" s="1726">
        <f t="shared" si="7"/>
        <v>0</v>
      </c>
      <c r="E128" s="1727">
        <f>IF(+I101&lt;F127,I101,D128)</f>
        <v>0</v>
      </c>
      <c r="F128" s="1726">
        <f t="shared" si="2"/>
        <v>0</v>
      </c>
      <c r="G128" s="1727">
        <f t="shared" si="8"/>
        <v>0</v>
      </c>
      <c r="H128" s="1707">
        <f t="shared" si="9"/>
        <v>0</v>
      </c>
      <c r="I128" s="1722">
        <f t="shared" si="3"/>
        <v>0</v>
      </c>
      <c r="J128" s="1722"/>
      <c r="K128" s="1728"/>
      <c r="L128" s="1725">
        <f t="shared" si="4"/>
        <v>0</v>
      </c>
      <c r="M128" s="1728"/>
      <c r="N128" s="1725">
        <f t="shared" si="5"/>
        <v>0</v>
      </c>
      <c r="O128" s="1725">
        <f t="shared" si="6"/>
        <v>0</v>
      </c>
      <c r="P128" s="1346"/>
    </row>
    <row r="129" spans="1:16">
      <c r="A129" s="397"/>
      <c r="B129" s="1683" t="str">
        <f t="shared" si="10"/>
        <v/>
      </c>
      <c r="C129" s="1719" t="str">
        <f>IF(D98="","-",+C128+1)</f>
        <v>-</v>
      </c>
      <c r="D129" s="1726">
        <f t="shared" si="7"/>
        <v>0</v>
      </c>
      <c r="E129" s="1727">
        <f>IF(+I101&lt;F128,I101,D129)</f>
        <v>0</v>
      </c>
      <c r="F129" s="1726">
        <f t="shared" si="2"/>
        <v>0</v>
      </c>
      <c r="G129" s="1727">
        <f t="shared" si="8"/>
        <v>0</v>
      </c>
      <c r="H129" s="1707">
        <f t="shared" si="9"/>
        <v>0</v>
      </c>
      <c r="I129" s="1722">
        <f t="shared" si="3"/>
        <v>0</v>
      </c>
      <c r="J129" s="1722"/>
      <c r="K129" s="1728"/>
      <c r="L129" s="1725">
        <f t="shared" si="4"/>
        <v>0</v>
      </c>
      <c r="M129" s="1728"/>
      <c r="N129" s="1725">
        <f t="shared" si="5"/>
        <v>0</v>
      </c>
      <c r="O129" s="1725">
        <f t="shared" si="6"/>
        <v>0</v>
      </c>
      <c r="P129" s="1346"/>
    </row>
    <row r="130" spans="1:16">
      <c r="A130" s="397"/>
      <c r="B130" s="1683" t="str">
        <f t="shared" si="10"/>
        <v/>
      </c>
      <c r="C130" s="1719" t="str">
        <f>IF(D98="","-",+C129+1)</f>
        <v>-</v>
      </c>
      <c r="D130" s="1726">
        <f t="shared" si="7"/>
        <v>0</v>
      </c>
      <c r="E130" s="1727">
        <f>IF(+I101&lt;F129,I101,D130)</f>
        <v>0</v>
      </c>
      <c r="F130" s="1726">
        <f t="shared" si="2"/>
        <v>0</v>
      </c>
      <c r="G130" s="1727">
        <f t="shared" si="8"/>
        <v>0</v>
      </c>
      <c r="H130" s="1707">
        <f t="shared" si="9"/>
        <v>0</v>
      </c>
      <c r="I130" s="1722">
        <f t="shared" si="3"/>
        <v>0</v>
      </c>
      <c r="J130" s="1722"/>
      <c r="K130" s="1728"/>
      <c r="L130" s="1725">
        <f t="shared" si="4"/>
        <v>0</v>
      </c>
      <c r="M130" s="1728"/>
      <c r="N130" s="1725">
        <f t="shared" si="5"/>
        <v>0</v>
      </c>
      <c r="O130" s="1725">
        <f t="shared" si="6"/>
        <v>0</v>
      </c>
      <c r="P130" s="1346"/>
    </row>
    <row r="131" spans="1:16">
      <c r="A131" s="397"/>
      <c r="B131" s="1683" t="str">
        <f t="shared" si="10"/>
        <v/>
      </c>
      <c r="C131" s="1719" t="str">
        <f>IF(D98="","-",+C130+1)</f>
        <v>-</v>
      </c>
      <c r="D131" s="1726">
        <f t="shared" si="7"/>
        <v>0</v>
      </c>
      <c r="E131" s="1727">
        <f>IF(+I101&lt;F130,I101,D131)</f>
        <v>0</v>
      </c>
      <c r="F131" s="1726">
        <f t="shared" si="2"/>
        <v>0</v>
      </c>
      <c r="G131" s="1727">
        <f t="shared" si="8"/>
        <v>0</v>
      </c>
      <c r="H131" s="1707">
        <f t="shared" si="9"/>
        <v>0</v>
      </c>
      <c r="I131" s="1722">
        <f t="shared" si="3"/>
        <v>0</v>
      </c>
      <c r="J131" s="1722"/>
      <c r="K131" s="1728"/>
      <c r="L131" s="1725">
        <f t="shared" si="4"/>
        <v>0</v>
      </c>
      <c r="M131" s="1728"/>
      <c r="N131" s="1725">
        <f t="shared" si="5"/>
        <v>0</v>
      </c>
      <c r="O131" s="1725">
        <f t="shared" si="6"/>
        <v>0</v>
      </c>
      <c r="P131" s="1346"/>
    </row>
    <row r="132" spans="1:16">
      <c r="A132" s="397"/>
      <c r="B132" s="1683" t="str">
        <f t="shared" si="10"/>
        <v/>
      </c>
      <c r="C132" s="1719" t="str">
        <f>IF(D98="","-",+C131+1)</f>
        <v>-</v>
      </c>
      <c r="D132" s="1726">
        <f t="shared" si="7"/>
        <v>0</v>
      </c>
      <c r="E132" s="1727">
        <f>IF(+I101&lt;F131,I101,D132)</f>
        <v>0</v>
      </c>
      <c r="F132" s="1726">
        <f t="shared" si="2"/>
        <v>0</v>
      </c>
      <c r="G132" s="1727">
        <f t="shared" si="8"/>
        <v>0</v>
      </c>
      <c r="H132" s="1707">
        <f t="shared" si="9"/>
        <v>0</v>
      </c>
      <c r="I132" s="1722">
        <f t="shared" si="3"/>
        <v>0</v>
      </c>
      <c r="J132" s="1722"/>
      <c r="K132" s="1728"/>
      <c r="L132" s="1725">
        <f t="shared" si="4"/>
        <v>0</v>
      </c>
      <c r="M132" s="1728"/>
      <c r="N132" s="1725">
        <f t="shared" si="5"/>
        <v>0</v>
      </c>
      <c r="O132" s="1725">
        <f t="shared" si="6"/>
        <v>0</v>
      </c>
      <c r="P132" s="1346"/>
    </row>
    <row r="133" spans="1:16">
      <c r="A133" s="397"/>
      <c r="B133" s="1683" t="str">
        <f t="shared" si="10"/>
        <v/>
      </c>
      <c r="C133" s="1719" t="str">
        <f>IF(D98="","-",+C132+1)</f>
        <v>-</v>
      </c>
      <c r="D133" s="1726">
        <f t="shared" si="7"/>
        <v>0</v>
      </c>
      <c r="E133" s="1727">
        <f>IF(+I101&lt;F132,I101,D133)</f>
        <v>0</v>
      </c>
      <c r="F133" s="1726">
        <f t="shared" si="2"/>
        <v>0</v>
      </c>
      <c r="G133" s="1727">
        <f t="shared" si="8"/>
        <v>0</v>
      </c>
      <c r="H133" s="1707">
        <f t="shared" si="9"/>
        <v>0</v>
      </c>
      <c r="I133" s="1722">
        <f t="shared" si="3"/>
        <v>0</v>
      </c>
      <c r="J133" s="1722"/>
      <c r="K133" s="1728"/>
      <c r="L133" s="1725">
        <f t="shared" si="4"/>
        <v>0</v>
      </c>
      <c r="M133" s="1728"/>
      <c r="N133" s="1725">
        <f t="shared" si="5"/>
        <v>0</v>
      </c>
      <c r="O133" s="1725">
        <f t="shared" si="6"/>
        <v>0</v>
      </c>
      <c r="P133" s="1346"/>
    </row>
    <row r="134" spans="1:16">
      <c r="A134" s="397"/>
      <c r="B134" s="1683" t="str">
        <f t="shared" si="10"/>
        <v/>
      </c>
      <c r="C134" s="1719" t="str">
        <f>IF(D98="","-",+C133+1)</f>
        <v>-</v>
      </c>
      <c r="D134" s="1726">
        <f t="shared" si="7"/>
        <v>0</v>
      </c>
      <c r="E134" s="1727">
        <f>IF(+I101&lt;F133,I101,D134)</f>
        <v>0</v>
      </c>
      <c r="F134" s="1726">
        <f t="shared" si="2"/>
        <v>0</v>
      </c>
      <c r="G134" s="1727">
        <f t="shared" si="8"/>
        <v>0</v>
      </c>
      <c r="H134" s="1707">
        <f t="shared" si="9"/>
        <v>0</v>
      </c>
      <c r="I134" s="1722">
        <f t="shared" si="3"/>
        <v>0</v>
      </c>
      <c r="J134" s="1722"/>
      <c r="K134" s="1728"/>
      <c r="L134" s="1725">
        <f t="shared" si="4"/>
        <v>0</v>
      </c>
      <c r="M134" s="1728"/>
      <c r="N134" s="1725">
        <f t="shared" si="5"/>
        <v>0</v>
      </c>
      <c r="O134" s="1725">
        <f t="shared" si="6"/>
        <v>0</v>
      </c>
      <c r="P134" s="1346"/>
    </row>
    <row r="135" spans="1:16">
      <c r="A135" s="397"/>
      <c r="B135" s="1683" t="str">
        <f t="shared" si="10"/>
        <v/>
      </c>
      <c r="C135" s="1719" t="str">
        <f>IF(D98="","-",+C134+1)</f>
        <v>-</v>
      </c>
      <c r="D135" s="1726">
        <f t="shared" si="7"/>
        <v>0</v>
      </c>
      <c r="E135" s="1727">
        <f>IF(+I101&lt;F134,I101,D135)</f>
        <v>0</v>
      </c>
      <c r="F135" s="1726">
        <f t="shared" si="2"/>
        <v>0</v>
      </c>
      <c r="G135" s="1727">
        <f t="shared" si="8"/>
        <v>0</v>
      </c>
      <c r="H135" s="1707">
        <f t="shared" si="9"/>
        <v>0</v>
      </c>
      <c r="I135" s="1722">
        <f t="shared" si="3"/>
        <v>0</v>
      </c>
      <c r="J135" s="1722"/>
      <c r="K135" s="1728"/>
      <c r="L135" s="1725">
        <f t="shared" si="4"/>
        <v>0</v>
      </c>
      <c r="M135" s="1728"/>
      <c r="N135" s="1725">
        <f t="shared" si="5"/>
        <v>0</v>
      </c>
      <c r="O135" s="1725">
        <f t="shared" si="6"/>
        <v>0</v>
      </c>
      <c r="P135" s="1346"/>
    </row>
    <row r="136" spans="1:16">
      <c r="A136" s="397"/>
      <c r="B136" s="1683" t="str">
        <f t="shared" si="10"/>
        <v/>
      </c>
      <c r="C136" s="1719" t="str">
        <f>IF(D98="","-",+C135+1)</f>
        <v>-</v>
      </c>
      <c r="D136" s="1726">
        <f t="shared" si="7"/>
        <v>0</v>
      </c>
      <c r="E136" s="1727">
        <f>IF(+I101&lt;F135,I101,D136)</f>
        <v>0</v>
      </c>
      <c r="F136" s="1726">
        <f t="shared" si="2"/>
        <v>0</v>
      </c>
      <c r="G136" s="1727">
        <f t="shared" si="8"/>
        <v>0</v>
      </c>
      <c r="H136" s="1707">
        <f t="shared" si="9"/>
        <v>0</v>
      </c>
      <c r="I136" s="1722">
        <f t="shared" si="3"/>
        <v>0</v>
      </c>
      <c r="J136" s="1722"/>
      <c r="K136" s="1728"/>
      <c r="L136" s="1725">
        <f t="shared" si="4"/>
        <v>0</v>
      </c>
      <c r="M136" s="1728"/>
      <c r="N136" s="1725">
        <f t="shared" si="5"/>
        <v>0</v>
      </c>
      <c r="O136" s="1725">
        <f t="shared" si="6"/>
        <v>0</v>
      </c>
      <c r="P136" s="1346"/>
    </row>
    <row r="137" spans="1:16">
      <c r="A137" s="397"/>
      <c r="B137" s="1683" t="str">
        <f t="shared" si="10"/>
        <v/>
      </c>
      <c r="C137" s="1719" t="str">
        <f>IF(D98="","-",+C136+1)</f>
        <v>-</v>
      </c>
      <c r="D137" s="1726">
        <f t="shared" si="7"/>
        <v>0</v>
      </c>
      <c r="E137" s="1727">
        <f>IF(+I101&lt;F136,I101,D137)</f>
        <v>0</v>
      </c>
      <c r="F137" s="1726">
        <f t="shared" si="2"/>
        <v>0</v>
      </c>
      <c r="G137" s="1727">
        <f t="shared" si="8"/>
        <v>0</v>
      </c>
      <c r="H137" s="1707">
        <f t="shared" si="9"/>
        <v>0</v>
      </c>
      <c r="I137" s="1722">
        <f t="shared" si="3"/>
        <v>0</v>
      </c>
      <c r="J137" s="1722"/>
      <c r="K137" s="1728"/>
      <c r="L137" s="1725">
        <f t="shared" si="4"/>
        <v>0</v>
      </c>
      <c r="M137" s="1728"/>
      <c r="N137" s="1725">
        <f t="shared" si="5"/>
        <v>0</v>
      </c>
      <c r="O137" s="1725">
        <f t="shared" si="6"/>
        <v>0</v>
      </c>
      <c r="P137" s="1346"/>
    </row>
    <row r="138" spans="1:16">
      <c r="A138" s="397"/>
      <c r="B138" s="1683" t="str">
        <f t="shared" si="10"/>
        <v/>
      </c>
      <c r="C138" s="1719" t="str">
        <f>IF(D98="","-",+C137+1)</f>
        <v>-</v>
      </c>
      <c r="D138" s="1726">
        <f t="shared" si="7"/>
        <v>0</v>
      </c>
      <c r="E138" s="1727">
        <f>IF(+I101&lt;F137,I101,D138)</f>
        <v>0</v>
      </c>
      <c r="F138" s="1726">
        <f t="shared" si="2"/>
        <v>0</v>
      </c>
      <c r="G138" s="1727">
        <f t="shared" si="8"/>
        <v>0</v>
      </c>
      <c r="H138" s="1707">
        <f t="shared" si="9"/>
        <v>0</v>
      </c>
      <c r="I138" s="1722">
        <f t="shared" si="3"/>
        <v>0</v>
      </c>
      <c r="J138" s="1722"/>
      <c r="K138" s="1728"/>
      <c r="L138" s="1725">
        <f t="shared" si="4"/>
        <v>0</v>
      </c>
      <c r="M138" s="1728"/>
      <c r="N138" s="1725">
        <f t="shared" si="5"/>
        <v>0</v>
      </c>
      <c r="O138" s="1725">
        <f t="shared" si="6"/>
        <v>0</v>
      </c>
      <c r="P138" s="1346"/>
    </row>
    <row r="139" spans="1:16">
      <c r="A139" s="397"/>
      <c r="B139" s="1683" t="str">
        <f t="shared" si="10"/>
        <v/>
      </c>
      <c r="C139" s="1719" t="str">
        <f>IF(D98="","-",+C138+1)</f>
        <v>-</v>
      </c>
      <c r="D139" s="1726">
        <f t="shared" si="7"/>
        <v>0</v>
      </c>
      <c r="E139" s="1727">
        <f>IF(+I101&lt;F138,I101,D139)</f>
        <v>0</v>
      </c>
      <c r="F139" s="1726">
        <f t="shared" si="2"/>
        <v>0</v>
      </c>
      <c r="G139" s="1727">
        <f t="shared" si="8"/>
        <v>0</v>
      </c>
      <c r="H139" s="1707">
        <f t="shared" si="9"/>
        <v>0</v>
      </c>
      <c r="I139" s="1722">
        <f t="shared" si="3"/>
        <v>0</v>
      </c>
      <c r="J139" s="1722"/>
      <c r="K139" s="1728"/>
      <c r="L139" s="1725">
        <f t="shared" si="4"/>
        <v>0</v>
      </c>
      <c r="M139" s="1728"/>
      <c r="N139" s="1725">
        <f t="shared" si="5"/>
        <v>0</v>
      </c>
      <c r="O139" s="1725">
        <f t="shared" si="6"/>
        <v>0</v>
      </c>
      <c r="P139" s="1346"/>
    </row>
    <row r="140" spans="1:16">
      <c r="A140" s="397"/>
      <c r="B140" s="1683" t="str">
        <f t="shared" si="10"/>
        <v/>
      </c>
      <c r="C140" s="1719" t="str">
        <f>IF(D98="","-",+C139+1)</f>
        <v>-</v>
      </c>
      <c r="D140" s="1726">
        <f t="shared" si="7"/>
        <v>0</v>
      </c>
      <c r="E140" s="1727">
        <f>IF(+I101&lt;F139,I101,D140)</f>
        <v>0</v>
      </c>
      <c r="F140" s="1726">
        <f t="shared" si="2"/>
        <v>0</v>
      </c>
      <c r="G140" s="1727">
        <f t="shared" si="8"/>
        <v>0</v>
      </c>
      <c r="H140" s="1707">
        <f t="shared" si="9"/>
        <v>0</v>
      </c>
      <c r="I140" s="1722">
        <f t="shared" si="3"/>
        <v>0</v>
      </c>
      <c r="J140" s="1722"/>
      <c r="K140" s="1728"/>
      <c r="L140" s="1725">
        <f t="shared" si="4"/>
        <v>0</v>
      </c>
      <c r="M140" s="1728"/>
      <c r="N140" s="1725">
        <f t="shared" si="5"/>
        <v>0</v>
      </c>
      <c r="O140" s="1725">
        <f t="shared" si="6"/>
        <v>0</v>
      </c>
      <c r="P140" s="1346"/>
    </row>
    <row r="141" spans="1:16">
      <c r="A141" s="397"/>
      <c r="B141" s="1683" t="str">
        <f t="shared" si="10"/>
        <v/>
      </c>
      <c r="C141" s="1719" t="str">
        <f>IF(D98="","-",+C140+1)</f>
        <v>-</v>
      </c>
      <c r="D141" s="1726">
        <f t="shared" si="7"/>
        <v>0</v>
      </c>
      <c r="E141" s="1727">
        <f>IF(+I101&lt;F140,I101,D141)</f>
        <v>0</v>
      </c>
      <c r="F141" s="1726">
        <f t="shared" si="2"/>
        <v>0</v>
      </c>
      <c r="G141" s="1727">
        <f t="shared" si="8"/>
        <v>0</v>
      </c>
      <c r="H141" s="1707">
        <f t="shared" si="9"/>
        <v>0</v>
      </c>
      <c r="I141" s="1722">
        <f t="shared" si="3"/>
        <v>0</v>
      </c>
      <c r="J141" s="1722"/>
      <c r="K141" s="1728"/>
      <c r="L141" s="1725">
        <f t="shared" si="4"/>
        <v>0</v>
      </c>
      <c r="M141" s="1728"/>
      <c r="N141" s="1725">
        <f t="shared" si="5"/>
        <v>0</v>
      </c>
      <c r="O141" s="1725">
        <f t="shared" si="6"/>
        <v>0</v>
      </c>
      <c r="P141" s="1346"/>
    </row>
    <row r="142" spans="1:16">
      <c r="A142" s="397"/>
      <c r="B142" s="1683" t="str">
        <f t="shared" si="10"/>
        <v/>
      </c>
      <c r="C142" s="1719" t="str">
        <f>IF(D98="","-",+C141+1)</f>
        <v>-</v>
      </c>
      <c r="D142" s="1726">
        <f t="shared" si="7"/>
        <v>0</v>
      </c>
      <c r="E142" s="1727">
        <f>IF(+I101&lt;F141,I101,D142)</f>
        <v>0</v>
      </c>
      <c r="F142" s="1726">
        <f t="shared" si="2"/>
        <v>0</v>
      </c>
      <c r="G142" s="1727">
        <f t="shared" si="8"/>
        <v>0</v>
      </c>
      <c r="H142" s="1707">
        <f t="shared" si="9"/>
        <v>0</v>
      </c>
      <c r="I142" s="1722">
        <f t="shared" si="3"/>
        <v>0</v>
      </c>
      <c r="J142" s="1722"/>
      <c r="K142" s="1728"/>
      <c r="L142" s="1725">
        <f t="shared" si="4"/>
        <v>0</v>
      </c>
      <c r="M142" s="1728"/>
      <c r="N142" s="1725">
        <f t="shared" si="5"/>
        <v>0</v>
      </c>
      <c r="O142" s="1725">
        <f t="shared" si="6"/>
        <v>0</v>
      </c>
      <c r="P142" s="1346"/>
    </row>
    <row r="143" spans="1:16">
      <c r="A143" s="397"/>
      <c r="B143" s="1683" t="str">
        <f t="shared" si="10"/>
        <v/>
      </c>
      <c r="C143" s="1719" t="str">
        <f>IF(D98="","-",+C142+1)</f>
        <v>-</v>
      </c>
      <c r="D143" s="1726">
        <f t="shared" si="7"/>
        <v>0</v>
      </c>
      <c r="E143" s="1727">
        <f>IF(+I101&lt;F142,I101,D143)</f>
        <v>0</v>
      </c>
      <c r="F143" s="1726">
        <f t="shared" si="2"/>
        <v>0</v>
      </c>
      <c r="G143" s="1727">
        <f t="shared" si="8"/>
        <v>0</v>
      </c>
      <c r="H143" s="1707">
        <f t="shared" si="9"/>
        <v>0</v>
      </c>
      <c r="I143" s="1722">
        <f t="shared" si="3"/>
        <v>0</v>
      </c>
      <c r="J143" s="1722"/>
      <c r="K143" s="1728"/>
      <c r="L143" s="1725">
        <f t="shared" si="4"/>
        <v>0</v>
      </c>
      <c r="M143" s="1728"/>
      <c r="N143" s="1725">
        <f t="shared" si="5"/>
        <v>0</v>
      </c>
      <c r="O143" s="1725">
        <f t="shared" si="6"/>
        <v>0</v>
      </c>
      <c r="P143" s="1346"/>
    </row>
    <row r="144" spans="1:16">
      <c r="A144" s="397"/>
      <c r="B144" s="1683" t="str">
        <f t="shared" si="10"/>
        <v/>
      </c>
      <c r="C144" s="1719" t="str">
        <f>IF(D98="","-",+C143+1)</f>
        <v>-</v>
      </c>
      <c r="D144" s="1726">
        <f t="shared" si="7"/>
        <v>0</v>
      </c>
      <c r="E144" s="1727">
        <f>IF(+I101&lt;F143,I101,D144)</f>
        <v>0</v>
      </c>
      <c r="F144" s="1726">
        <f t="shared" si="2"/>
        <v>0</v>
      </c>
      <c r="G144" s="1727">
        <f t="shared" si="8"/>
        <v>0</v>
      </c>
      <c r="H144" s="1707">
        <f t="shared" si="9"/>
        <v>0</v>
      </c>
      <c r="I144" s="1722">
        <f t="shared" si="3"/>
        <v>0</v>
      </c>
      <c r="J144" s="1722"/>
      <c r="K144" s="1728"/>
      <c r="L144" s="1725">
        <f t="shared" si="4"/>
        <v>0</v>
      </c>
      <c r="M144" s="1728"/>
      <c r="N144" s="1725">
        <f t="shared" si="5"/>
        <v>0</v>
      </c>
      <c r="O144" s="1725">
        <f t="shared" si="6"/>
        <v>0</v>
      </c>
      <c r="P144" s="1346"/>
    </row>
    <row r="145" spans="1:16">
      <c r="A145" s="397"/>
      <c r="B145" s="1683" t="str">
        <f t="shared" si="10"/>
        <v/>
      </c>
      <c r="C145" s="1719" t="str">
        <f>IF(D98="","-",+C144+1)</f>
        <v>-</v>
      </c>
      <c r="D145" s="1726">
        <f t="shared" si="7"/>
        <v>0</v>
      </c>
      <c r="E145" s="1727">
        <f>IF(+I101&lt;F144,I101,D145)</f>
        <v>0</v>
      </c>
      <c r="F145" s="1726">
        <f t="shared" si="2"/>
        <v>0</v>
      </c>
      <c r="G145" s="1727">
        <f t="shared" si="8"/>
        <v>0</v>
      </c>
      <c r="H145" s="1707">
        <f t="shared" si="9"/>
        <v>0</v>
      </c>
      <c r="I145" s="1722">
        <f t="shared" si="3"/>
        <v>0</v>
      </c>
      <c r="J145" s="1722"/>
      <c r="K145" s="1728"/>
      <c r="L145" s="1725">
        <f t="shared" si="4"/>
        <v>0</v>
      </c>
      <c r="M145" s="1728"/>
      <c r="N145" s="1725">
        <f t="shared" si="5"/>
        <v>0</v>
      </c>
      <c r="O145" s="1725">
        <f t="shared" si="6"/>
        <v>0</v>
      </c>
      <c r="P145" s="1346"/>
    </row>
    <row r="146" spans="1:16">
      <c r="A146" s="397"/>
      <c r="B146" s="1683" t="str">
        <f t="shared" si="10"/>
        <v/>
      </c>
      <c r="C146" s="1719" t="str">
        <f>IF(D98="","-",+C145+1)</f>
        <v>-</v>
      </c>
      <c r="D146" s="1726">
        <f t="shared" si="7"/>
        <v>0</v>
      </c>
      <c r="E146" s="1727">
        <f>IF(+I101&lt;F145,I101,D146)</f>
        <v>0</v>
      </c>
      <c r="F146" s="1726">
        <f t="shared" si="2"/>
        <v>0</v>
      </c>
      <c r="G146" s="1727">
        <f t="shared" si="8"/>
        <v>0</v>
      </c>
      <c r="H146" s="1707">
        <f t="shared" si="9"/>
        <v>0</v>
      </c>
      <c r="I146" s="1722">
        <f t="shared" si="3"/>
        <v>0</v>
      </c>
      <c r="J146" s="1722"/>
      <c r="K146" s="1728"/>
      <c r="L146" s="1725">
        <f t="shared" si="4"/>
        <v>0</v>
      </c>
      <c r="M146" s="1728"/>
      <c r="N146" s="1725">
        <f t="shared" si="5"/>
        <v>0</v>
      </c>
      <c r="O146" s="1725">
        <f t="shared" si="6"/>
        <v>0</v>
      </c>
      <c r="P146" s="1346"/>
    </row>
    <row r="147" spans="1:16">
      <c r="A147" s="397"/>
      <c r="B147" s="1683" t="str">
        <f t="shared" si="10"/>
        <v/>
      </c>
      <c r="C147" s="1719" t="str">
        <f>IF(D98="","-",+C146+1)</f>
        <v>-</v>
      </c>
      <c r="D147" s="1726">
        <f t="shared" si="7"/>
        <v>0</v>
      </c>
      <c r="E147" s="1727">
        <f>IF(+I101&lt;F146,I101,D147)</f>
        <v>0</v>
      </c>
      <c r="F147" s="1726">
        <f t="shared" si="2"/>
        <v>0</v>
      </c>
      <c r="G147" s="1727">
        <f t="shared" si="8"/>
        <v>0</v>
      </c>
      <c r="H147" s="1707">
        <f t="shared" si="9"/>
        <v>0</v>
      </c>
      <c r="I147" s="1722">
        <f t="shared" si="3"/>
        <v>0</v>
      </c>
      <c r="J147" s="1722"/>
      <c r="K147" s="1728"/>
      <c r="L147" s="1725">
        <f t="shared" si="4"/>
        <v>0</v>
      </c>
      <c r="M147" s="1728"/>
      <c r="N147" s="1725">
        <f t="shared" si="5"/>
        <v>0</v>
      </c>
      <c r="O147" s="1725">
        <f t="shared" si="6"/>
        <v>0</v>
      </c>
      <c r="P147" s="1346"/>
    </row>
    <row r="148" spans="1:16">
      <c r="A148" s="397"/>
      <c r="B148" s="1683" t="str">
        <f t="shared" si="10"/>
        <v/>
      </c>
      <c r="C148" s="1719" t="str">
        <f>IF(D98="","-",+C147+1)</f>
        <v>-</v>
      </c>
      <c r="D148" s="1726">
        <f t="shared" si="7"/>
        <v>0</v>
      </c>
      <c r="E148" s="1727">
        <f>IF(+I101&lt;F147,I101,D148)</f>
        <v>0</v>
      </c>
      <c r="F148" s="1726">
        <f t="shared" si="2"/>
        <v>0</v>
      </c>
      <c r="G148" s="1730">
        <f t="shared" si="8"/>
        <v>0</v>
      </c>
      <c r="H148" s="1707">
        <f t="shared" si="9"/>
        <v>0</v>
      </c>
      <c r="I148" s="1722">
        <f t="shared" si="3"/>
        <v>0</v>
      </c>
      <c r="J148" s="1722"/>
      <c r="K148" s="1728"/>
      <c r="L148" s="1725">
        <f t="shared" si="4"/>
        <v>0</v>
      </c>
      <c r="M148" s="1728"/>
      <c r="N148" s="1725">
        <f t="shared" si="5"/>
        <v>0</v>
      </c>
      <c r="O148" s="1725">
        <f t="shared" si="6"/>
        <v>0</v>
      </c>
      <c r="P148" s="1346"/>
    </row>
    <row r="149" spans="1:16">
      <c r="A149" s="397"/>
      <c r="B149" s="1683" t="str">
        <f t="shared" si="10"/>
        <v/>
      </c>
      <c r="C149" s="1719" t="str">
        <f>IF(D98="","-",+C148+1)</f>
        <v>-</v>
      </c>
      <c r="D149" s="1726">
        <f t="shared" si="7"/>
        <v>0</v>
      </c>
      <c r="E149" s="1727">
        <f>IF(+I101&lt;F148,I101,D149)</f>
        <v>0</v>
      </c>
      <c r="F149" s="1726">
        <f t="shared" si="2"/>
        <v>0</v>
      </c>
      <c r="G149" s="1730">
        <f t="shared" si="8"/>
        <v>0</v>
      </c>
      <c r="H149" s="1707">
        <f t="shared" si="9"/>
        <v>0</v>
      </c>
      <c r="I149" s="1722">
        <f t="shared" si="3"/>
        <v>0</v>
      </c>
      <c r="J149" s="1722"/>
      <c r="K149" s="1728"/>
      <c r="L149" s="1725">
        <f t="shared" si="4"/>
        <v>0</v>
      </c>
      <c r="M149" s="1728"/>
      <c r="N149" s="1725">
        <f t="shared" si="5"/>
        <v>0</v>
      </c>
      <c r="O149" s="1725">
        <f t="shared" si="6"/>
        <v>0</v>
      </c>
      <c r="P149" s="1346"/>
    </row>
    <row r="150" spans="1:16">
      <c r="A150" s="397"/>
      <c r="B150" s="1683" t="str">
        <f t="shared" si="10"/>
        <v/>
      </c>
      <c r="C150" s="1719" t="str">
        <f>IF(D98="","-",+C149+1)</f>
        <v>-</v>
      </c>
      <c r="D150" s="1726">
        <f t="shared" si="7"/>
        <v>0</v>
      </c>
      <c r="E150" s="1727">
        <f>IF(+I101&lt;F149,I101,D150)</f>
        <v>0</v>
      </c>
      <c r="F150" s="1726">
        <f t="shared" si="2"/>
        <v>0</v>
      </c>
      <c r="G150" s="1730">
        <f t="shared" si="8"/>
        <v>0</v>
      </c>
      <c r="H150" s="1707">
        <f t="shared" si="9"/>
        <v>0</v>
      </c>
      <c r="I150" s="1722">
        <f t="shared" si="3"/>
        <v>0</v>
      </c>
      <c r="J150" s="1722"/>
      <c r="K150" s="1728"/>
      <c r="L150" s="1725">
        <f t="shared" si="4"/>
        <v>0</v>
      </c>
      <c r="M150" s="1728"/>
      <c r="N150" s="1725">
        <f t="shared" si="5"/>
        <v>0</v>
      </c>
      <c r="O150" s="1725">
        <f t="shared" si="6"/>
        <v>0</v>
      </c>
      <c r="P150" s="1346"/>
    </row>
    <row r="151" spans="1:16">
      <c r="A151" s="397"/>
      <c r="B151" s="1683" t="str">
        <f t="shared" si="10"/>
        <v/>
      </c>
      <c r="C151" s="1719" t="str">
        <f>IF(D98="","-",+C150+1)</f>
        <v>-</v>
      </c>
      <c r="D151" s="1726">
        <f t="shared" si="7"/>
        <v>0</v>
      </c>
      <c r="E151" s="1727">
        <f>IF(+I101&lt;F150,I101,D151)</f>
        <v>0</v>
      </c>
      <c r="F151" s="1726">
        <f t="shared" si="2"/>
        <v>0</v>
      </c>
      <c r="G151" s="1730">
        <f t="shared" si="8"/>
        <v>0</v>
      </c>
      <c r="H151" s="1707">
        <f t="shared" si="9"/>
        <v>0</v>
      </c>
      <c r="I151" s="1722">
        <f t="shared" si="3"/>
        <v>0</v>
      </c>
      <c r="J151" s="1722"/>
      <c r="K151" s="1728"/>
      <c r="L151" s="1725">
        <f t="shared" si="4"/>
        <v>0</v>
      </c>
      <c r="M151" s="1728"/>
      <c r="N151" s="1725">
        <f t="shared" si="5"/>
        <v>0</v>
      </c>
      <c r="O151" s="1725">
        <f t="shared" si="6"/>
        <v>0</v>
      </c>
      <c r="P151" s="1346"/>
    </row>
    <row r="152" spans="1:16">
      <c r="A152" s="397"/>
      <c r="B152" s="1683" t="str">
        <f t="shared" si="10"/>
        <v/>
      </c>
      <c r="C152" s="1719" t="str">
        <f>IF(D98="","-",+C151+1)</f>
        <v>-</v>
      </c>
      <c r="D152" s="1726">
        <f t="shared" si="7"/>
        <v>0</v>
      </c>
      <c r="E152" s="1727">
        <f>IF(+I101&lt;F151,I101,D152)</f>
        <v>0</v>
      </c>
      <c r="F152" s="1726">
        <f t="shared" si="2"/>
        <v>0</v>
      </c>
      <c r="G152" s="1730">
        <f t="shared" si="8"/>
        <v>0</v>
      </c>
      <c r="H152" s="1707">
        <f t="shared" si="9"/>
        <v>0</v>
      </c>
      <c r="I152" s="1722">
        <f t="shared" si="3"/>
        <v>0</v>
      </c>
      <c r="J152" s="1722"/>
      <c r="K152" s="1728"/>
      <c r="L152" s="1725">
        <f t="shared" si="4"/>
        <v>0</v>
      </c>
      <c r="M152" s="1728"/>
      <c r="N152" s="1725">
        <f t="shared" si="5"/>
        <v>0</v>
      </c>
      <c r="O152" s="1725">
        <f t="shared" si="6"/>
        <v>0</v>
      </c>
      <c r="P152" s="1346"/>
    </row>
    <row r="153" spans="1:16">
      <c r="A153" s="397"/>
      <c r="B153" s="1683" t="str">
        <f t="shared" si="10"/>
        <v/>
      </c>
      <c r="C153" s="1719" t="str">
        <f>IF(D98="","-",+C152+1)</f>
        <v>-</v>
      </c>
      <c r="D153" s="1726">
        <f t="shared" si="7"/>
        <v>0</v>
      </c>
      <c r="E153" s="1727">
        <f>IF(+I101&lt;F152,I101,D153)</f>
        <v>0</v>
      </c>
      <c r="F153" s="1726">
        <f t="shared" si="2"/>
        <v>0</v>
      </c>
      <c r="G153" s="1730">
        <f t="shared" si="8"/>
        <v>0</v>
      </c>
      <c r="H153" s="1707">
        <f t="shared" si="9"/>
        <v>0</v>
      </c>
      <c r="I153" s="1722">
        <f t="shared" si="3"/>
        <v>0</v>
      </c>
      <c r="J153" s="1722"/>
      <c r="K153" s="1728"/>
      <c r="L153" s="1725">
        <f t="shared" si="4"/>
        <v>0</v>
      </c>
      <c r="M153" s="1728"/>
      <c r="N153" s="1725">
        <f t="shared" si="5"/>
        <v>0</v>
      </c>
      <c r="O153" s="1725">
        <f t="shared" si="6"/>
        <v>0</v>
      </c>
      <c r="P153" s="1346"/>
    </row>
    <row r="154" spans="1:16">
      <c r="A154" s="397"/>
      <c r="B154" s="1683" t="str">
        <f t="shared" si="10"/>
        <v/>
      </c>
      <c r="C154" s="1719" t="str">
        <f>IF(D98="","-",+C153+1)</f>
        <v>-</v>
      </c>
      <c r="D154" s="1726">
        <f t="shared" si="7"/>
        <v>0</v>
      </c>
      <c r="E154" s="1727">
        <f>IF(+I101&lt;F153,I101,D154)</f>
        <v>0</v>
      </c>
      <c r="F154" s="1726">
        <f t="shared" si="2"/>
        <v>0</v>
      </c>
      <c r="G154" s="1730">
        <f t="shared" si="8"/>
        <v>0</v>
      </c>
      <c r="H154" s="1707">
        <f t="shared" si="9"/>
        <v>0</v>
      </c>
      <c r="I154" s="1722">
        <f t="shared" si="3"/>
        <v>0</v>
      </c>
      <c r="J154" s="1722"/>
      <c r="K154" s="1728"/>
      <c r="L154" s="1725">
        <f t="shared" si="4"/>
        <v>0</v>
      </c>
      <c r="M154" s="1728"/>
      <c r="N154" s="1725">
        <f t="shared" si="5"/>
        <v>0</v>
      </c>
      <c r="O154" s="1725">
        <f t="shared" si="6"/>
        <v>0</v>
      </c>
      <c r="P154" s="1346"/>
    </row>
    <row r="155" spans="1:16">
      <c r="A155" s="397"/>
      <c r="B155" s="1683" t="str">
        <f t="shared" si="10"/>
        <v/>
      </c>
      <c r="C155" s="1719" t="str">
        <f>IF(D98="","-",+C154+1)</f>
        <v>-</v>
      </c>
      <c r="D155" s="1726">
        <f t="shared" si="7"/>
        <v>0</v>
      </c>
      <c r="E155" s="1727">
        <f>IF(+I101&lt;F154,I101,D155)</f>
        <v>0</v>
      </c>
      <c r="F155" s="1726">
        <f t="shared" si="2"/>
        <v>0</v>
      </c>
      <c r="G155" s="1730">
        <f t="shared" si="8"/>
        <v>0</v>
      </c>
      <c r="H155" s="1707">
        <f t="shared" si="9"/>
        <v>0</v>
      </c>
      <c r="I155" s="1722">
        <f t="shared" si="3"/>
        <v>0</v>
      </c>
      <c r="J155" s="1722"/>
      <c r="K155" s="1728"/>
      <c r="L155" s="1725">
        <f t="shared" si="4"/>
        <v>0</v>
      </c>
      <c r="M155" s="1728"/>
      <c r="N155" s="1725">
        <f t="shared" si="5"/>
        <v>0</v>
      </c>
      <c r="O155" s="1725">
        <f t="shared" si="6"/>
        <v>0</v>
      </c>
      <c r="P155" s="1346"/>
    </row>
    <row r="156" spans="1:16">
      <c r="A156" s="397"/>
      <c r="B156" s="1683" t="str">
        <f t="shared" si="10"/>
        <v/>
      </c>
      <c r="C156" s="1719" t="str">
        <f>IF(D98="","-",+C155+1)</f>
        <v>-</v>
      </c>
      <c r="D156" s="1726">
        <f t="shared" si="7"/>
        <v>0</v>
      </c>
      <c r="E156" s="1727">
        <f>IF(+I101&lt;F155,I101,D156)</f>
        <v>0</v>
      </c>
      <c r="F156" s="1726">
        <f t="shared" si="2"/>
        <v>0</v>
      </c>
      <c r="G156" s="1730">
        <f t="shared" si="8"/>
        <v>0</v>
      </c>
      <c r="H156" s="1707">
        <f t="shared" si="9"/>
        <v>0</v>
      </c>
      <c r="I156" s="1722">
        <f t="shared" si="3"/>
        <v>0</v>
      </c>
      <c r="J156" s="1722"/>
      <c r="K156" s="1728"/>
      <c r="L156" s="1725">
        <f t="shared" si="4"/>
        <v>0</v>
      </c>
      <c r="M156" s="1728"/>
      <c r="N156" s="1725">
        <f t="shared" si="5"/>
        <v>0</v>
      </c>
      <c r="O156" s="1725">
        <f t="shared" si="6"/>
        <v>0</v>
      </c>
      <c r="P156" s="1346"/>
    </row>
    <row r="157" spans="1:16">
      <c r="A157" s="397"/>
      <c r="B157" s="1683" t="str">
        <f t="shared" si="10"/>
        <v/>
      </c>
      <c r="C157" s="1719" t="str">
        <f>IF(D98="","-",+C156+1)</f>
        <v>-</v>
      </c>
      <c r="D157" s="1726">
        <f t="shared" si="7"/>
        <v>0</v>
      </c>
      <c r="E157" s="1727">
        <f>IF(+I101&lt;F156,I101,D157)</f>
        <v>0</v>
      </c>
      <c r="F157" s="1726">
        <f t="shared" si="2"/>
        <v>0</v>
      </c>
      <c r="G157" s="1730">
        <f t="shared" si="8"/>
        <v>0</v>
      </c>
      <c r="H157" s="1707">
        <f t="shared" si="9"/>
        <v>0</v>
      </c>
      <c r="I157" s="1722">
        <f t="shared" si="3"/>
        <v>0</v>
      </c>
      <c r="J157" s="1722"/>
      <c r="K157" s="1728"/>
      <c r="L157" s="1725">
        <f t="shared" si="4"/>
        <v>0</v>
      </c>
      <c r="M157" s="1728"/>
      <c r="N157" s="1725">
        <f t="shared" si="5"/>
        <v>0</v>
      </c>
      <c r="O157" s="1725">
        <f t="shared" si="6"/>
        <v>0</v>
      </c>
      <c r="P157" s="1346"/>
    </row>
    <row r="158" spans="1:16">
      <c r="A158" s="397"/>
      <c r="B158" s="1683" t="str">
        <f t="shared" si="10"/>
        <v/>
      </c>
      <c r="C158" s="1719" t="str">
        <f>IF(D98="","-",+C157+1)</f>
        <v>-</v>
      </c>
      <c r="D158" s="1726">
        <f t="shared" si="7"/>
        <v>0</v>
      </c>
      <c r="E158" s="1727">
        <f>IF(+I101&lt;F157,I101,D158)</f>
        <v>0</v>
      </c>
      <c r="F158" s="1726">
        <f t="shared" si="2"/>
        <v>0</v>
      </c>
      <c r="G158" s="1730">
        <f t="shared" si="8"/>
        <v>0</v>
      </c>
      <c r="H158" s="1707">
        <f t="shared" si="9"/>
        <v>0</v>
      </c>
      <c r="I158" s="1722">
        <f t="shared" si="3"/>
        <v>0</v>
      </c>
      <c r="J158" s="1722"/>
      <c r="K158" s="1728"/>
      <c r="L158" s="1725">
        <f t="shared" si="4"/>
        <v>0</v>
      </c>
      <c r="M158" s="1728"/>
      <c r="N158" s="1725">
        <f t="shared" si="5"/>
        <v>0</v>
      </c>
      <c r="O158" s="1725">
        <f t="shared" si="6"/>
        <v>0</v>
      </c>
      <c r="P158" s="1346"/>
    </row>
    <row r="159" spans="1:16" ht="13" thickBot="1">
      <c r="A159" s="397"/>
      <c r="B159" s="1683" t="str">
        <f t="shared" si="10"/>
        <v/>
      </c>
      <c r="C159" s="1731" t="str">
        <f>IF(D98="","-",+C158+1)</f>
        <v>-</v>
      </c>
      <c r="D159" s="1732">
        <f t="shared" si="7"/>
        <v>0</v>
      </c>
      <c r="E159" s="1733">
        <f>IF(+I101&lt;F158,I101,D159)</f>
        <v>0</v>
      </c>
      <c r="F159" s="1732">
        <f t="shared" si="2"/>
        <v>0</v>
      </c>
      <c r="G159" s="1734">
        <f t="shared" si="8"/>
        <v>0</v>
      </c>
      <c r="H159" s="1696">
        <f t="shared" si="9"/>
        <v>0</v>
      </c>
      <c r="I159" s="1735">
        <f t="shared" si="3"/>
        <v>0</v>
      </c>
      <c r="J159" s="1722"/>
      <c r="K159" s="1736"/>
      <c r="L159" s="1737">
        <f t="shared" si="4"/>
        <v>0</v>
      </c>
      <c r="M159" s="1736"/>
      <c r="N159" s="1737">
        <f t="shared" si="5"/>
        <v>0</v>
      </c>
      <c r="O159" s="1737">
        <f t="shared" si="6"/>
        <v>0</v>
      </c>
      <c r="P159" s="1346"/>
    </row>
    <row r="160" spans="1:16">
      <c r="A160" s="397"/>
      <c r="B160" s="397"/>
      <c r="C160" s="1720" t="s">
        <v>475</v>
      </c>
      <c r="D160" s="1686"/>
      <c r="E160" s="1686">
        <f>SUM(E104:E159)</f>
        <v>0</v>
      </c>
      <c r="F160" s="1686"/>
      <c r="G160" s="1686">
        <f>SUM(G104:G159)</f>
        <v>0</v>
      </c>
      <c r="H160" s="1686">
        <f>SUM(H104:H159)</f>
        <v>0</v>
      </c>
      <c r="I160" s="1686">
        <f>SUM(I104:I159)</f>
        <v>0</v>
      </c>
      <c r="J160" s="1686"/>
      <c r="K160" s="1686"/>
      <c r="L160" s="1686"/>
      <c r="M160" s="1686"/>
      <c r="N160" s="1686"/>
      <c r="O160" s="1346"/>
      <c r="P160" s="1346"/>
    </row>
    <row r="161" spans="1:16">
      <c r="A161" s="397"/>
      <c r="B161" s="397"/>
      <c r="C161" s="397"/>
      <c r="D161" s="1683"/>
      <c r="E161" s="397"/>
      <c r="F161" s="397"/>
      <c r="G161" s="397"/>
      <c r="H161" s="1685"/>
      <c r="I161" s="1685"/>
      <c r="J161" s="1686"/>
      <c r="K161" s="1685"/>
      <c r="L161" s="1685"/>
      <c r="M161" s="1685"/>
      <c r="N161" s="1685"/>
      <c r="O161" s="397"/>
      <c r="P161" s="397"/>
    </row>
    <row r="162" spans="1:16" ht="13">
      <c r="A162" s="397"/>
      <c r="B162" s="397"/>
      <c r="C162" s="578" t="s">
        <v>634</v>
      </c>
      <c r="D162" s="1683"/>
      <c r="E162" s="397"/>
      <c r="F162" s="397"/>
      <c r="G162" s="397"/>
      <c r="H162" s="1685"/>
      <c r="I162" s="1685"/>
      <c r="J162" s="1686"/>
      <c r="K162" s="1685"/>
      <c r="L162" s="1685"/>
      <c r="M162" s="1685"/>
      <c r="N162" s="1685"/>
      <c r="O162" s="397"/>
      <c r="P162" s="397"/>
    </row>
    <row r="163" spans="1:16" ht="13">
      <c r="A163" s="397"/>
      <c r="B163" s="397"/>
      <c r="C163" s="578" t="s">
        <v>476</v>
      </c>
      <c r="D163" s="1683"/>
      <c r="E163" s="397"/>
      <c r="F163" s="397"/>
      <c r="G163" s="397"/>
      <c r="H163" s="1685"/>
      <c r="I163" s="1685"/>
      <c r="J163" s="1686"/>
      <c r="K163" s="1685"/>
      <c r="L163" s="1685"/>
      <c r="M163" s="1685"/>
      <c r="N163" s="1685"/>
      <c r="O163" s="1346"/>
      <c r="P163" s="1346"/>
    </row>
    <row r="164" spans="1:16" ht="13">
      <c r="A164" s="397"/>
      <c r="B164" s="397"/>
      <c r="C164" s="578" t="s">
        <v>477</v>
      </c>
      <c r="D164" s="1720"/>
      <c r="E164" s="1720"/>
      <c r="F164" s="1720"/>
      <c r="G164" s="1686"/>
      <c r="H164" s="1686"/>
      <c r="I164" s="1738"/>
      <c r="J164" s="1738"/>
      <c r="K164" s="1738"/>
      <c r="L164" s="1738"/>
      <c r="M164" s="1738"/>
      <c r="N164" s="1738"/>
      <c r="O164" s="1346"/>
      <c r="P164" s="1346"/>
    </row>
    <row r="165" spans="1:16" ht="13">
      <c r="A165" s="397"/>
      <c r="B165" s="397"/>
      <c r="C165" s="578"/>
      <c r="D165" s="1720"/>
      <c r="E165" s="1720"/>
      <c r="F165" s="1720"/>
      <c r="G165" s="1686"/>
      <c r="H165" s="1686"/>
      <c r="I165" s="1738"/>
      <c r="J165" s="1738"/>
      <c r="K165" s="1738"/>
      <c r="L165" s="1738"/>
      <c r="M165" s="1738"/>
      <c r="N165" s="1738"/>
      <c r="O165" s="1346"/>
      <c r="P165" s="397"/>
    </row>
    <row r="166" spans="1:16">
      <c r="A166" s="397"/>
      <c r="B166" s="397"/>
      <c r="C166" s="272"/>
      <c r="D166" s="1683"/>
      <c r="E166" s="397"/>
      <c r="F166" s="1739"/>
      <c r="G166" s="397"/>
      <c r="H166" s="1685"/>
      <c r="I166" s="397"/>
      <c r="J166" s="1346"/>
      <c r="K166" s="397"/>
      <c r="L166" s="397"/>
      <c r="M166" s="397"/>
      <c r="N166" s="397"/>
      <c r="O166" s="397"/>
      <c r="P166" s="397"/>
    </row>
    <row r="167" spans="1:16" ht="17.5">
      <c r="A167" s="397"/>
      <c r="B167" s="397"/>
      <c r="C167" s="1740"/>
      <c r="D167" s="1683"/>
      <c r="E167" s="397"/>
      <c r="F167" s="1739"/>
      <c r="G167" s="397"/>
      <c r="H167" s="1685"/>
      <c r="I167" s="397"/>
      <c r="J167" s="1346"/>
      <c r="K167" s="397"/>
      <c r="L167" s="397"/>
      <c r="M167" s="397"/>
      <c r="N167" s="397"/>
      <c r="O167" s="397"/>
      <c r="P167" s="940"/>
    </row>
    <row r="168" spans="1:16">
      <c r="P168" s="279"/>
    </row>
    <row r="169" spans="1:16">
      <c r="P169" s="279"/>
    </row>
    <row r="170" spans="1:16">
      <c r="P170" s="279"/>
    </row>
    <row r="171" spans="1:16">
      <c r="P171" s="279"/>
    </row>
  </sheetData>
  <mergeCells count="8">
    <mergeCell ref="J10:N10"/>
    <mergeCell ref="J12:N14"/>
    <mergeCell ref="A2:I2"/>
    <mergeCell ref="A3:I3"/>
    <mergeCell ref="A4:I4"/>
    <mergeCell ref="A5:I5"/>
    <mergeCell ref="C7:I7"/>
    <mergeCell ref="J7:N9"/>
  </mergeCells>
  <conditionalFormatting sqref="C104:C159">
    <cfRule type="cellIs" dxfId="1" priority="1" stopIfTrue="1" operator="equal">
      <formula>$I$9</formula>
    </cfRule>
  </conditionalFormatting>
  <printOptions horizontalCentered="1"/>
  <pageMargins left="0.25" right="0.25" top="0.75" bottom="0.25" header="0.25" footer="0.5"/>
  <pageSetup scale="41" fitToHeight="5" orientation="landscape" horizontalDpi="1200" verticalDpi="1200" r:id="rId1"/>
  <headerFooter alignWithMargins="0">
    <oddHeader xml:space="preserve">&amp;R&amp;12AEP - SPP Transco Formula Rate
TCOS - WS F
Page: &amp;P of &amp;N&amp;16
</oddHeader>
    <oddFooter xml:space="preserve">&amp;C &amp;R </oddFooter>
  </headerFooter>
  <rowBreaks count="1" manualBreakCount="1">
    <brk id="87" max="14"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6"/>
  <sheetViews>
    <sheetView zoomScale="81" zoomScaleNormal="81" zoomScaleSheetLayoutView="75" workbookViewId="0">
      <selection activeCell="F77" sqref="F77"/>
    </sheetView>
  </sheetViews>
  <sheetFormatPr defaultColWidth="8.81640625" defaultRowHeight="12.5"/>
  <cols>
    <col min="1" max="1" width="9.26953125" style="279" customWidth="1"/>
    <col min="2" max="2" width="6.7265625" style="279" customWidth="1"/>
    <col min="3" max="3" width="26.54296875" style="279" customWidth="1"/>
    <col min="4" max="4" width="17.7265625" style="328" customWidth="1"/>
    <col min="5" max="5" width="21.7265625" style="279" customWidth="1"/>
    <col min="6" max="8" width="17.7265625" style="279" customWidth="1"/>
    <col min="9" max="9" width="19.54296875" style="1377" customWidth="1"/>
    <col min="10" max="10" width="20.26953125" style="1377" customWidth="1"/>
    <col min="11" max="11" width="13.54296875" style="1377" customWidth="1"/>
    <col min="12" max="13" width="17.7265625" style="279" customWidth="1"/>
    <col min="14" max="14" width="19.26953125" style="279" customWidth="1"/>
    <col min="15" max="15" width="18.453125" style="279" customWidth="1"/>
    <col min="16" max="16" width="19.54296875" style="279" customWidth="1"/>
    <col min="17" max="17" width="2.1796875" style="272" customWidth="1"/>
    <col min="18" max="18" width="16.453125" style="272" customWidth="1"/>
    <col min="19" max="19" width="57.81640625" style="279" bestFit="1" customWidth="1"/>
    <col min="20" max="20" width="17.1796875" style="279" customWidth="1"/>
    <col min="21" max="16384" width="8.81640625" style="279"/>
  </cols>
  <sheetData>
    <row r="1" spans="1:21" ht="15.5">
      <c r="A1" s="551"/>
    </row>
    <row r="2" spans="1:21" ht="17.5">
      <c r="A2" s="2089" t="str">
        <f>'SWT TCOS'!F4</f>
        <v xml:space="preserve">AEP West SPP Member Transmission Companies </v>
      </c>
      <c r="B2" s="2089"/>
      <c r="C2" s="2089"/>
      <c r="D2" s="2089"/>
      <c r="E2" s="2089"/>
      <c r="F2" s="2089"/>
      <c r="G2" s="2089"/>
      <c r="H2" s="2089"/>
      <c r="I2" s="2089"/>
      <c r="J2" s="941"/>
      <c r="K2" s="941"/>
    </row>
    <row r="3" spans="1:21" ht="17.5">
      <c r="A3" s="2094" t="str">
        <f>+'SWT WS A-1 - Plant'!A3</f>
        <v xml:space="preserve">Actual / Projected 2019 Rate Year Cost of Service Formula Rate </v>
      </c>
      <c r="B3" s="2089"/>
      <c r="C3" s="2089"/>
      <c r="D3" s="2089"/>
      <c r="E3" s="2089"/>
      <c r="F3" s="2089"/>
      <c r="G3" s="2089"/>
      <c r="H3" s="2089"/>
      <c r="I3" s="2089"/>
      <c r="J3" s="1741"/>
      <c r="K3" s="1741"/>
    </row>
    <row r="4" spans="1:21" ht="18">
      <c r="A4" s="2089" t="s">
        <v>636</v>
      </c>
      <c r="B4" s="2089"/>
      <c r="C4" s="2089"/>
      <c r="D4" s="2089"/>
      <c r="E4" s="2089"/>
      <c r="F4" s="2089"/>
      <c r="G4" s="2089"/>
      <c r="H4" s="2089"/>
      <c r="I4" s="2089"/>
      <c r="J4" s="1741"/>
      <c r="K4" s="1741"/>
    </row>
    <row r="5" spans="1:21" ht="18">
      <c r="A5" s="2003" t="str">
        <f>+'SWT TCOS'!F8</f>
        <v>AEP SOUTHWESTERN TRANSMISSION COMPANY</v>
      </c>
      <c r="B5" s="2003"/>
      <c r="C5" s="2003"/>
      <c r="D5" s="2003"/>
      <c r="E5" s="2003"/>
      <c r="F5" s="2003"/>
      <c r="G5" s="2003"/>
      <c r="H5" s="2003"/>
      <c r="I5" s="2003"/>
      <c r="J5" s="943"/>
      <c r="K5" s="943"/>
    </row>
    <row r="7" spans="1:21" ht="35.25" customHeight="1">
      <c r="A7" s="1603" t="s">
        <v>307</v>
      </c>
      <c r="B7" s="743" t="s">
        <v>309</v>
      </c>
      <c r="C7" s="2034" t="str">
        <f>"Calculate Return and Income Taxes with "&amp;F12&amp;" basis point ROE increase for Projects Qualified for Incentive."</f>
        <v>Calculate Return and Income Taxes with 0 basis point ROE increase for Projects Qualified for Incentive.</v>
      </c>
      <c r="D7" s="2090"/>
      <c r="E7" s="2090"/>
      <c r="F7" s="2090"/>
      <c r="G7" s="2090"/>
      <c r="H7" s="2090"/>
      <c r="I7" s="2090"/>
      <c r="J7" s="338"/>
      <c r="K7" s="338"/>
      <c r="L7" s="2091" t="s">
        <v>429</v>
      </c>
      <c r="M7" s="2091"/>
      <c r="N7" s="2091"/>
      <c r="O7" s="2091"/>
      <c r="P7" s="2091"/>
      <c r="R7" s="740" t="s">
        <v>498</v>
      </c>
    </row>
    <row r="8" spans="1:21" ht="15.75" customHeight="1">
      <c r="A8" s="1603" t="s">
        <v>245</v>
      </c>
      <c r="C8" s="338"/>
      <c r="D8" s="338"/>
      <c r="E8" s="338"/>
      <c r="F8" s="338"/>
      <c r="G8" s="338"/>
      <c r="H8" s="338"/>
      <c r="I8" s="338"/>
      <c r="J8" s="338"/>
      <c r="K8" s="338"/>
      <c r="L8" s="2091"/>
      <c r="M8" s="2091"/>
      <c r="N8" s="2091"/>
      <c r="O8" s="2091"/>
      <c r="P8" s="2091"/>
    </row>
    <row r="9" spans="1:21" ht="15.5">
      <c r="C9" s="745" t="str">
        <f>"A.   Determine 'R' with hypothetical "&amp;F12&amp;" basis point increase in ROE for Identified Projects"</f>
        <v>A.   Determine 'R' with hypothetical 0 basis point increase in ROE for Identified Projects</v>
      </c>
      <c r="L9" s="2091"/>
      <c r="M9" s="2091"/>
      <c r="N9" s="2091"/>
      <c r="O9" s="2091"/>
      <c r="P9" s="2091"/>
      <c r="R9" s="279"/>
      <c r="S9" s="279" t="s">
        <v>165</v>
      </c>
    </row>
    <row r="10" spans="1:21" ht="18" customHeight="1">
      <c r="L10" s="2091"/>
      <c r="M10" s="2091"/>
      <c r="N10" s="2091"/>
      <c r="O10" s="2091"/>
      <c r="P10" s="2091"/>
      <c r="R10" s="746" t="s">
        <v>159</v>
      </c>
      <c r="S10" s="740" t="s">
        <v>338</v>
      </c>
    </row>
    <row r="11" spans="1:21" ht="13.5" thickBot="1">
      <c r="A11" s="328">
        <v>1</v>
      </c>
      <c r="C11" s="27" t="str">
        <f>"   ROE w/o incentives  (TCOS, ln "&amp;'SWT TCOS'!B237&amp;")"</f>
        <v xml:space="preserve">   ROE w/o incentives  (TCOS, ln 143)</v>
      </c>
      <c r="E11" s="1604"/>
      <c r="F11" s="1605">
        <f>+'SWT TCOS'!J237</f>
        <v>0.105</v>
      </c>
      <c r="G11" s="1605"/>
      <c r="H11" s="1606"/>
      <c r="I11" s="1607"/>
      <c r="J11" s="1607"/>
      <c r="K11" s="1607"/>
      <c r="L11" s="338"/>
      <c r="M11" s="338"/>
      <c r="N11" s="338"/>
      <c r="O11" s="338"/>
      <c r="P11" s="338"/>
      <c r="Q11" s="1608"/>
      <c r="R11" s="740" t="s">
        <v>432</v>
      </c>
      <c r="T11" s="754"/>
    </row>
    <row r="12" spans="1:21" ht="14">
      <c r="A12" s="328">
        <f>+A11+1</f>
        <v>2</v>
      </c>
      <c r="C12" s="27" t="s">
        <v>147</v>
      </c>
      <c r="E12" s="1604"/>
      <c r="F12" s="755">
        <v>0</v>
      </c>
      <c r="G12" s="1611" t="s">
        <v>337</v>
      </c>
      <c r="I12" s="279"/>
      <c r="J12" s="279"/>
      <c r="K12" s="279"/>
      <c r="L12" s="1615"/>
      <c r="M12" s="1615"/>
      <c r="N12" s="1615"/>
      <c r="O12" s="1615"/>
      <c r="P12" s="1615"/>
      <c r="Q12" s="1608"/>
      <c r="R12" s="1609" t="s">
        <v>496</v>
      </c>
      <c r="S12" s="1610" t="s">
        <v>88</v>
      </c>
      <c r="T12" s="132"/>
    </row>
    <row r="13" spans="1:21" ht="13.5" thickBot="1">
      <c r="A13" s="328">
        <f>+A12+1</f>
        <v>3</v>
      </c>
      <c r="C13" s="27" t="str">
        <f>"   ROE with additional "&amp;F12&amp;" basis point incentive"</f>
        <v xml:space="preserve">   ROE with additional 0 basis point incentive</v>
      </c>
      <c r="D13" s="1604"/>
      <c r="E13" s="1604"/>
      <c r="F13" s="1614">
        <f>IF((F11+(F12/10000)&gt;0.1245),"ERROR",F11+(F12/10000))</f>
        <v>0.105</v>
      </c>
      <c r="G13" s="760" t="s">
        <v>635</v>
      </c>
      <c r="I13" s="1615"/>
      <c r="J13" s="1615"/>
      <c r="K13" s="1615"/>
      <c r="Q13" s="1608"/>
      <c r="R13" s="1612">
        <f>M17</f>
        <v>2016</v>
      </c>
      <c r="S13" s="1613" t="s">
        <v>125</v>
      </c>
      <c r="T13" s="132"/>
      <c r="U13" s="272"/>
    </row>
    <row r="14" spans="1:21">
      <c r="A14" s="328">
        <f t="shared" ref="A14:A46" si="0">+A13+1</f>
        <v>4</v>
      </c>
      <c r="C14" s="1617" t="str">
        <f>"   Determine R  (cost of long term debt, cost of preferred stock and percent is from TCOS, lns "&amp;'SWT TCOS'!B235&amp;" through "&amp;'SWT TCOS'!B237&amp;")"</f>
        <v xml:space="preserve">   Determine R  (cost of long term debt, cost of preferred stock and percent is from TCOS, lns 141 through 143)</v>
      </c>
      <c r="E14" s="1604"/>
      <c r="F14" s="1614"/>
      <c r="G14" s="1614"/>
      <c r="H14" s="1604"/>
      <c r="I14" s="1615"/>
      <c r="J14" s="1615"/>
      <c r="K14" s="1615"/>
      <c r="L14" s="2035" t="s">
        <v>384</v>
      </c>
      <c r="M14" s="2036"/>
      <c r="N14" s="2036"/>
      <c r="O14" s="2036"/>
      <c r="P14" s="2037"/>
      <c r="Q14" s="1608"/>
      <c r="R14" s="1742">
        <f>+F11</f>
        <v>0.105</v>
      </c>
      <c r="S14" s="1613" t="str">
        <f>+C11</f>
        <v xml:space="preserve">   ROE w/o incentives  (TCOS, ln 143)</v>
      </c>
      <c r="T14" s="132"/>
      <c r="U14" s="272"/>
    </row>
    <row r="15" spans="1:21" ht="16.5" customHeight="1">
      <c r="A15" s="328">
        <f t="shared" si="0"/>
        <v>5</v>
      </c>
      <c r="C15" s="1608"/>
      <c r="D15" s="766" t="s">
        <v>284</v>
      </c>
      <c r="E15" s="766" t="s">
        <v>283</v>
      </c>
      <c r="F15" s="767" t="s">
        <v>369</v>
      </c>
      <c r="G15" s="767"/>
      <c r="H15" s="1604"/>
      <c r="I15" s="1615"/>
      <c r="J15" s="1615"/>
      <c r="K15" s="1615"/>
      <c r="L15" s="2038"/>
      <c r="M15" s="2039"/>
      <c r="N15" s="2039"/>
      <c r="O15" s="2039"/>
      <c r="P15" s="2040"/>
      <c r="Q15" s="1608"/>
      <c r="R15" s="1618">
        <f>+F12</f>
        <v>0</v>
      </c>
      <c r="S15" s="1613" t="str">
        <f>+C12</f>
        <v xml:space="preserve">   Project ROE Incentive Adder (Enter as whole number)</v>
      </c>
      <c r="T15" s="132"/>
      <c r="U15" s="272"/>
    </row>
    <row r="16" spans="1:21">
      <c r="A16" s="328">
        <f t="shared" si="0"/>
        <v>6</v>
      </c>
      <c r="C16" s="1621" t="s">
        <v>372</v>
      </c>
      <c r="D16" s="1622">
        <f>'SWT TCOS'!G235</f>
        <v>0</v>
      </c>
      <c r="E16" s="1623">
        <f>+'SWT TCOS'!J235</f>
        <v>0</v>
      </c>
      <c r="F16" s="1624">
        <f>E16*D16</f>
        <v>0</v>
      </c>
      <c r="G16" s="1625"/>
      <c r="H16" s="1604"/>
      <c r="I16" s="1615"/>
      <c r="J16" s="1615"/>
      <c r="K16" s="1615"/>
      <c r="L16" s="1631"/>
      <c r="M16" s="1608"/>
      <c r="N16" s="1608" t="s">
        <v>370</v>
      </c>
      <c r="O16" s="1608" t="s">
        <v>431</v>
      </c>
      <c r="P16" s="1632" t="s">
        <v>371</v>
      </c>
      <c r="Q16" s="1629"/>
      <c r="R16" s="1742">
        <f>+D16</f>
        <v>0</v>
      </c>
      <c r="S16" s="1620" t="str">
        <f>+C16&amp;" "&amp;D15</f>
        <v>Long Term Debt %</v>
      </c>
      <c r="T16" s="132"/>
      <c r="U16" s="272"/>
    </row>
    <row r="17" spans="1:21">
      <c r="A17" s="328">
        <f t="shared" si="0"/>
        <v>7</v>
      </c>
      <c r="C17" s="1621" t="s">
        <v>373</v>
      </c>
      <c r="D17" s="1622">
        <f>'SWT TCOS'!G236</f>
        <v>0</v>
      </c>
      <c r="E17" s="1623">
        <f>+'SWT TCOS'!J236</f>
        <v>0</v>
      </c>
      <c r="F17" s="1624">
        <f>E17*D17</f>
        <v>0</v>
      </c>
      <c r="G17" s="1625"/>
      <c r="H17" s="1630"/>
      <c r="I17" s="1630"/>
      <c r="J17" s="1630"/>
      <c r="K17" s="1630"/>
      <c r="L17" s="1631" t="s">
        <v>424</v>
      </c>
      <c r="M17" s="1743">
        <v>2016</v>
      </c>
      <c r="N17" s="272"/>
      <c r="O17" s="272"/>
      <c r="P17" s="1613"/>
      <c r="Q17" s="1633"/>
      <c r="R17" s="1744">
        <f>+E16</f>
        <v>0</v>
      </c>
      <c r="S17" s="1620" t="str">
        <f>C16&amp;" "&amp;E15</f>
        <v>Long Term Debt Cost</v>
      </c>
      <c r="T17" s="132"/>
      <c r="U17" s="272"/>
    </row>
    <row r="18" spans="1:21">
      <c r="A18" s="328">
        <f t="shared" si="0"/>
        <v>8</v>
      </c>
      <c r="C18" s="1621" t="s">
        <v>365</v>
      </c>
      <c r="D18" s="1622">
        <f>'SWT TCOS'!G237</f>
        <v>0</v>
      </c>
      <c r="E18" s="1623">
        <f>+F13</f>
        <v>0.105</v>
      </c>
      <c r="F18" s="787">
        <f>E18*D18</f>
        <v>0</v>
      </c>
      <c r="G18" s="788"/>
      <c r="H18" s="1630"/>
      <c r="I18" s="1630"/>
      <c r="J18" s="1630"/>
      <c r="K18" s="1630"/>
      <c r="L18" s="1745" t="s">
        <v>425</v>
      </c>
      <c r="M18" s="1746"/>
      <c r="N18" s="949">
        <f>+R46</f>
        <v>0</v>
      </c>
      <c r="O18" s="949">
        <f>+R47</f>
        <v>0</v>
      </c>
      <c r="P18" s="950">
        <f>+O18-N18</f>
        <v>0</v>
      </c>
      <c r="Q18" s="1633"/>
      <c r="R18" s="1742">
        <f>+D17</f>
        <v>0</v>
      </c>
      <c r="S18" s="1620" t="str">
        <f>C17&amp;" "&amp;D15</f>
        <v>Preferred Stock %</v>
      </c>
      <c r="T18" s="132"/>
      <c r="U18" s="272"/>
    </row>
    <row r="19" spans="1:21">
      <c r="A19" s="328">
        <f t="shared" si="0"/>
        <v>9</v>
      </c>
      <c r="C19" s="27"/>
      <c r="D19" s="1604"/>
      <c r="E19" s="1635" t="s">
        <v>374</v>
      </c>
      <c r="F19" s="1624">
        <f>SUM(F16:F18)</f>
        <v>0</v>
      </c>
      <c r="G19" s="1625"/>
      <c r="H19" s="1636"/>
      <c r="I19" s="1630"/>
      <c r="J19" s="1630"/>
      <c r="K19" s="1630"/>
      <c r="L19" s="1747" t="s">
        <v>430</v>
      </c>
      <c r="M19" s="1748"/>
      <c r="N19" s="949">
        <f>+R48</f>
        <v>0</v>
      </c>
      <c r="O19" s="949">
        <f>+R49</f>
        <v>0</v>
      </c>
      <c r="P19" s="950">
        <f>+O19-N19</f>
        <v>0</v>
      </c>
      <c r="Q19" s="1633"/>
      <c r="R19" s="1744">
        <f>+E17</f>
        <v>0</v>
      </c>
      <c r="S19" s="1620" t="str">
        <f>C17&amp;" "&amp;E15</f>
        <v>Preferred Stock Cost</v>
      </c>
      <c r="T19" s="132"/>
      <c r="U19" s="272"/>
    </row>
    <row r="20" spans="1:21" ht="13" thickBot="1">
      <c r="A20" s="328"/>
      <c r="D20" s="1642"/>
      <c r="E20" s="1642"/>
      <c r="F20" s="1630"/>
      <c r="G20" s="1630"/>
      <c r="H20" s="1630"/>
      <c r="I20" s="1630"/>
      <c r="J20" s="1630"/>
      <c r="K20" s="1630"/>
      <c r="L20" s="1749" t="str">
        <f>"True-up Adjustment For "&amp;M17&amp;""</f>
        <v>True-up Adjustment For 2016</v>
      </c>
      <c r="M20" s="1750"/>
      <c r="N20" s="1751">
        <f>+N19-N18</f>
        <v>0</v>
      </c>
      <c r="O20" s="1751">
        <f>+O19-O18</f>
        <v>0</v>
      </c>
      <c r="P20" s="1752">
        <f>+P19-P18</f>
        <v>0</v>
      </c>
      <c r="Q20" s="1643"/>
      <c r="R20" s="1742">
        <f>+D18</f>
        <v>0</v>
      </c>
      <c r="S20" s="1641" t="str">
        <f>C18&amp;" "&amp;D15</f>
        <v>Common Stock %</v>
      </c>
      <c r="T20" s="132"/>
      <c r="U20" s="272"/>
    </row>
    <row r="21" spans="1:21" ht="15.5">
      <c r="A21" s="328"/>
      <c r="C21" s="745" t="str">
        <f>"B.   Determine Return using 'R' with hypothetical "&amp;F12&amp;" basis point ROE increase for Identified Projects."</f>
        <v>B.   Determine Return using 'R' with hypothetical 0 basis point ROE increase for Identified Projects.</v>
      </c>
      <c r="D21" s="1642"/>
      <c r="E21" s="1642"/>
      <c r="F21" s="1630"/>
      <c r="G21" s="1630"/>
      <c r="H21" s="1630"/>
      <c r="I21" s="1604"/>
      <c r="J21" s="1604"/>
      <c r="K21" s="1604"/>
      <c r="L21" s="1629"/>
      <c r="M21" s="7"/>
      <c r="N21" s="1753"/>
      <c r="O21" s="1753"/>
      <c r="P21" s="1754"/>
      <c r="Q21" s="1643"/>
      <c r="R21" s="1647">
        <f>+E23</f>
        <v>15956.08450076923</v>
      </c>
      <c r="S21" s="1645" t="str">
        <f>C23</f>
        <v xml:space="preserve">   Rate Base  (TCOS, ln 63)</v>
      </c>
      <c r="T21" s="132"/>
      <c r="U21" s="272"/>
    </row>
    <row r="22" spans="1:21">
      <c r="A22" s="328"/>
      <c r="C22" s="1608"/>
      <c r="D22" s="1642"/>
      <c r="E22" s="1642"/>
      <c r="F22" s="1643"/>
      <c r="G22" s="1643"/>
      <c r="H22" s="1643"/>
      <c r="I22" s="1643"/>
      <c r="J22" s="1643"/>
      <c r="K22" s="1643"/>
      <c r="L22" s="1630"/>
      <c r="M22" s="1630"/>
      <c r="N22" s="1630"/>
      <c r="O22" s="1630"/>
      <c r="P22" s="1630"/>
      <c r="Q22" s="1643"/>
      <c r="R22" s="1646">
        <f>+F30</f>
        <v>0.27319999999999989</v>
      </c>
      <c r="S22" s="1613" t="str">
        <f>+C30</f>
        <v xml:space="preserve">   Tax Rate  (TCOS, ln 99)</v>
      </c>
      <c r="T22" s="132"/>
      <c r="U22" s="272"/>
    </row>
    <row r="23" spans="1:21" ht="13">
      <c r="A23" s="328">
        <f>+A19+1</f>
        <v>10</v>
      </c>
      <c r="C23" s="27" t="str">
        <f>"   Rate Base  (TCOS, ln "&amp;'SWT TCOS'!B113&amp;")"</f>
        <v xml:space="preserve">   Rate Base  (TCOS, ln 63)</v>
      </c>
      <c r="D23" s="1604"/>
      <c r="E23" s="1648">
        <f>+'SWT TCOS'!L113</f>
        <v>15956.08450076923</v>
      </c>
      <c r="F23" s="1649"/>
      <c r="G23" s="1649"/>
      <c r="H23" s="1643"/>
      <c r="I23" s="1643"/>
      <c r="J23" s="1643"/>
      <c r="K23" s="1643"/>
      <c r="L23" s="578"/>
      <c r="M23" s="1643"/>
      <c r="N23" s="1643"/>
      <c r="O23" s="1643"/>
      <c r="P23" s="1643"/>
      <c r="Q23" s="1643"/>
      <c r="R23" s="1647">
        <f>+F33</f>
        <v>0</v>
      </c>
      <c r="S23" s="1613" t="str">
        <f>+C33</f>
        <v xml:space="preserve">   ITC Adjustment  (TCOS, ln 108)</v>
      </c>
      <c r="T23" s="132"/>
      <c r="U23" s="272"/>
    </row>
    <row r="24" spans="1:21">
      <c r="A24" s="328">
        <f t="shared" si="0"/>
        <v>11</v>
      </c>
      <c r="C24" s="1608" t="s">
        <v>343</v>
      </c>
      <c r="D24" s="1606"/>
      <c r="E24" s="1650">
        <f>F19</f>
        <v>0</v>
      </c>
      <c r="F24" s="1643"/>
      <c r="G24" s="1643"/>
      <c r="H24" s="1643"/>
      <c r="I24" s="1643"/>
      <c r="J24" s="1643"/>
      <c r="K24" s="1643"/>
      <c r="M24" s="1643"/>
      <c r="N24" s="1643"/>
      <c r="O24" s="1643"/>
      <c r="P24" s="1649"/>
      <c r="Q24" s="1643"/>
      <c r="R24" s="1647">
        <f>+F34</f>
        <v>2562.0005503577318</v>
      </c>
      <c r="S24" s="1613" t="str">
        <f>+C34</f>
        <v xml:space="preserve">   Excess DFIT Adjustment  (TCOS, ln 109)</v>
      </c>
      <c r="T24" s="132"/>
      <c r="U24" s="272"/>
    </row>
    <row r="25" spans="1:21">
      <c r="A25" s="328">
        <f t="shared" si="0"/>
        <v>12</v>
      </c>
      <c r="C25" s="1651" t="s">
        <v>375</v>
      </c>
      <c r="D25" s="1651"/>
      <c r="E25" s="1652">
        <f>E23*E24</f>
        <v>0</v>
      </c>
      <c r="F25" s="1643"/>
      <c r="G25" s="1643"/>
      <c r="H25" s="1643"/>
      <c r="I25" s="1643"/>
      <c r="J25" s="1643"/>
      <c r="K25" s="1643"/>
      <c r="L25" s="1633"/>
      <c r="M25" s="1633"/>
      <c r="N25" s="1633"/>
      <c r="O25" s="1633"/>
      <c r="P25" s="1643"/>
      <c r="Q25" s="1633"/>
      <c r="R25" s="1647">
        <f>+F35</f>
        <v>0</v>
      </c>
      <c r="S25" s="1613" t="str">
        <f>+C35</f>
        <v xml:space="preserve">   Tax Effect of Permanent and Flow Through Differences (TCOS, ln 110)</v>
      </c>
      <c r="T25" s="132"/>
      <c r="U25" s="272"/>
    </row>
    <row r="26" spans="1:21">
      <c r="A26" s="328"/>
      <c r="C26" s="1651"/>
      <c r="D26" s="1615"/>
      <c r="E26" s="1615"/>
      <c r="F26" s="1643"/>
      <c r="G26" s="1643"/>
      <c r="H26" s="1643"/>
      <c r="I26" s="1643"/>
      <c r="J26" s="1643"/>
      <c r="K26" s="1643"/>
      <c r="Q26" s="1633"/>
      <c r="R26" s="1647">
        <f>+F42</f>
        <v>100832.38796693773</v>
      </c>
      <c r="S26" s="1613" t="str">
        <f>+C42</f>
        <v xml:space="preserve">   Net Revenue Requirement  (TCOS, ln 117)</v>
      </c>
      <c r="T26" s="132"/>
      <c r="U26" s="272"/>
    </row>
    <row r="27" spans="1:21" ht="15.5">
      <c r="A27" s="328"/>
      <c r="C27" s="745" t="str">
        <f>"C.   Determine Income Taxes using Return with hypothetical "&amp;F12&amp;" basis point ROE increase for Identified Projects."</f>
        <v>C.   Determine Income Taxes using Return with hypothetical 0 basis point ROE increase for Identified Projects.</v>
      </c>
      <c r="D27" s="1653"/>
      <c r="E27" s="1653"/>
      <c r="F27" s="1654"/>
      <c r="G27" s="1654"/>
      <c r="H27" s="1654"/>
      <c r="I27" s="1654"/>
      <c r="J27" s="1654"/>
      <c r="K27" s="1654"/>
      <c r="Q27" s="1655"/>
      <c r="R27" s="1647">
        <f>+F43</f>
        <v>1147.0294165799876</v>
      </c>
      <c r="S27" s="1613" t="str">
        <f>+C43</f>
        <v xml:space="preserve">   Return  (TCOS, ln 112)</v>
      </c>
      <c r="T27" s="132"/>
      <c r="U27" s="272"/>
    </row>
    <row r="28" spans="1:21" ht="14.25" customHeight="1">
      <c r="A28" s="328"/>
      <c r="C28" s="27"/>
      <c r="D28" s="1615"/>
      <c r="E28" s="1615"/>
      <c r="F28" s="1643"/>
      <c r="G28" s="1643"/>
      <c r="H28" s="1643"/>
      <c r="I28" s="1643"/>
      <c r="J28" s="1643"/>
      <c r="K28" s="1643"/>
      <c r="L28" s="397"/>
      <c r="M28" s="397"/>
      <c r="N28" s="397"/>
      <c r="O28" s="397"/>
      <c r="P28" s="397"/>
      <c r="Q28" s="1633"/>
      <c r="R28" s="1647">
        <f>+F44</f>
        <v>2562.0005503577318</v>
      </c>
      <c r="S28" s="1613" t="str">
        <f>+C44</f>
        <v xml:space="preserve">   Income Taxes  (TCOS, ln 111)</v>
      </c>
      <c r="T28" s="132"/>
      <c r="U28" s="754"/>
    </row>
    <row r="29" spans="1:21" ht="19.5" customHeight="1">
      <c r="A29" s="328">
        <f>+A25+1</f>
        <v>13</v>
      </c>
      <c r="C29" s="1608" t="s">
        <v>376</v>
      </c>
      <c r="D29" s="1635"/>
      <c r="F29" s="1656">
        <f>E25</f>
        <v>0</v>
      </c>
      <c r="G29" s="1643"/>
      <c r="H29" s="1643"/>
      <c r="I29" s="1643"/>
      <c r="J29" s="1643"/>
      <c r="K29" s="1643"/>
      <c r="L29" s="810" t="s">
        <v>126</v>
      </c>
      <c r="M29" s="811" t="s">
        <v>438</v>
      </c>
      <c r="N29" s="812"/>
      <c r="O29" s="812"/>
      <c r="P29" s="868"/>
      <c r="Q29" s="1643"/>
      <c r="R29" s="1647">
        <f>+F45</f>
        <v>0</v>
      </c>
      <c r="S29" s="1613" t="str">
        <f>+C45</f>
        <v xml:space="preserve">  Gross Margin Taxes  (TCOS, ln 116)</v>
      </c>
      <c r="T29" s="132"/>
      <c r="U29" s="272"/>
    </row>
    <row r="30" spans="1:21" ht="18">
      <c r="A30" s="328">
        <f t="shared" si="0"/>
        <v>14</v>
      </c>
      <c r="C30" s="27" t="str">
        <f>"   Tax Rate  (TCOS, ln "&amp;'SWT TCOS'!B168&amp;")"</f>
        <v xml:space="preserve">   Tax Rate  (TCOS, ln 99)</v>
      </c>
      <c r="D30" s="1635"/>
      <c r="F30" s="1657">
        <f>+'SWT TCOS'!G168</f>
        <v>0.27319999999999989</v>
      </c>
      <c r="G30" s="1643"/>
      <c r="H30" s="1643"/>
      <c r="I30" s="1643"/>
      <c r="J30" s="1643"/>
      <c r="K30" s="1643"/>
      <c r="L30" s="1633"/>
      <c r="M30" s="816" t="s">
        <v>426</v>
      </c>
      <c r="N30" s="817"/>
      <c r="O30" s="817"/>
      <c r="P30" s="868"/>
      <c r="Q30" s="1643"/>
      <c r="R30" s="1647">
        <f>+F55</f>
        <v>0</v>
      </c>
      <c r="S30" s="1613" t="str">
        <f>+C55</f>
        <v xml:space="preserve">   Less: Depreciation  (TCOS, ln 86)</v>
      </c>
      <c r="T30" s="132"/>
      <c r="U30" s="272"/>
    </row>
    <row r="31" spans="1:21">
      <c r="A31" s="328">
        <f t="shared" si="0"/>
        <v>15</v>
      </c>
      <c r="C31" s="1608" t="s">
        <v>198</v>
      </c>
      <c r="F31" s="1614">
        <f>IF(F16&gt;0,($F30/(1-$F30))*(1-$F16/$F19),0)</f>
        <v>0</v>
      </c>
      <c r="L31" s="397"/>
      <c r="M31" s="397"/>
      <c r="N31" s="397"/>
      <c r="O31" s="397"/>
      <c r="P31" s="397"/>
      <c r="R31" s="1646">
        <f>+F61</f>
        <v>0</v>
      </c>
      <c r="S31" s="1613" t="str">
        <f>+C61</f>
        <v xml:space="preserve">       Apportionment Factor to Texas (Worksheet K, ln 12)</v>
      </c>
      <c r="T31" s="132"/>
      <c r="U31" s="272"/>
    </row>
    <row r="32" spans="1:21">
      <c r="A32" s="328">
        <f t="shared" si="0"/>
        <v>16</v>
      </c>
      <c r="C32" s="1651" t="s">
        <v>199</v>
      </c>
      <c r="F32" s="1658">
        <f>F29*F31</f>
        <v>0</v>
      </c>
      <c r="L32" s="397"/>
      <c r="M32" s="397"/>
      <c r="N32" s="397"/>
      <c r="O32" s="397"/>
      <c r="P32" s="397"/>
      <c r="R32" s="1647">
        <f>+F71</f>
        <v>7.6923076923076925E-7</v>
      </c>
      <c r="S32" s="1613" t="str">
        <f>+C71</f>
        <v xml:space="preserve">   Net Transmission Plant  (TCOS, ln 37)</v>
      </c>
      <c r="T32" s="132"/>
      <c r="U32" s="1661"/>
    </row>
    <row r="33" spans="1:21" ht="15.5">
      <c r="A33" s="328">
        <f t="shared" si="0"/>
        <v>17</v>
      </c>
      <c r="C33" s="27" t="str">
        <f>"   ITC Adjustment  (TCOS, ln "&amp;'SWT TCOS'!B178&amp;")"</f>
        <v xml:space="preserve">   ITC Adjustment  (TCOS, ln 108)</v>
      </c>
      <c r="D33" s="353"/>
      <c r="F33" s="1643">
        <f>+'SWT TCOS'!L178</f>
        <v>0</v>
      </c>
      <c r="G33" s="353"/>
      <c r="H33" s="353"/>
      <c r="I33" s="353"/>
      <c r="J33" s="353"/>
      <c r="K33" s="353"/>
      <c r="L33" s="397"/>
      <c r="M33" s="397"/>
      <c r="N33" s="397"/>
      <c r="O33" s="397"/>
      <c r="P33" s="397"/>
      <c r="Q33" s="353"/>
      <c r="R33" s="1646">
        <f>+F77</f>
        <v>131082104357.01906</v>
      </c>
      <c r="S33" s="1755" t="str">
        <f>+C77</f>
        <v xml:space="preserve">   FCR less Depreciation  (TCOS, ln 10)</v>
      </c>
      <c r="T33" s="132"/>
      <c r="U33" s="754"/>
    </row>
    <row r="34" spans="1:21" ht="15.5">
      <c r="A34" s="328">
        <f t="shared" si="0"/>
        <v>18</v>
      </c>
      <c r="C34" s="27" t="str">
        <f>"   Excess DFIT Adjustment  (TCOS, ln "&amp;'SWT TCOS'!B179&amp;")"</f>
        <v xml:space="preserve">   Excess DFIT Adjustment  (TCOS, ln 109)</v>
      </c>
      <c r="D34" s="353"/>
      <c r="F34" s="1643">
        <f>+'SWT TCOS'!L179</f>
        <v>2562.0005503577318</v>
      </c>
      <c r="G34" s="353"/>
      <c r="H34" s="353"/>
      <c r="I34" s="353"/>
      <c r="J34" s="353"/>
      <c r="K34" s="353"/>
      <c r="L34" s="397"/>
      <c r="M34" s="397"/>
      <c r="N34" s="397"/>
      <c r="O34" s="397"/>
      <c r="P34" s="397"/>
      <c r="Q34" s="353"/>
      <c r="R34" s="1756">
        <f>+F81</f>
        <v>7.6923076923076925E-7</v>
      </c>
      <c r="S34" s="1757" t="str">
        <f>+C81</f>
        <v>Transmission Plant Average Balance for 2019 (WS A-1 Ln 14 Col (d))</v>
      </c>
      <c r="T34" s="132"/>
      <c r="U34" s="754"/>
    </row>
    <row r="35" spans="1:21" ht="16" thickBot="1">
      <c r="A35" s="328">
        <f t="shared" si="0"/>
        <v>19</v>
      </c>
      <c r="C35" s="27" t="str">
        <f>"   Tax Effect of Permanent and Flow Through Differences (TCOS, ln "&amp;'SWT TCOS'!B180&amp;")"</f>
        <v xml:space="preserve">   Tax Effect of Permanent and Flow Through Differences (TCOS, ln 110)</v>
      </c>
      <c r="D35" s="353"/>
      <c r="F35" s="1643">
        <f>+'SWT TCOS'!L180</f>
        <v>0</v>
      </c>
      <c r="G35" s="353"/>
      <c r="H35" s="353"/>
      <c r="I35" s="353"/>
      <c r="J35" s="353"/>
      <c r="K35" s="353"/>
      <c r="L35" s="397"/>
      <c r="M35" s="397"/>
      <c r="N35" s="397"/>
      <c r="O35" s="397"/>
      <c r="P35" s="397"/>
      <c r="Q35" s="353"/>
      <c r="R35" s="1758">
        <f>+F82</f>
        <v>0</v>
      </c>
      <c r="S35" s="1759" t="str">
        <f>+C82</f>
        <v>Annual Depreciation Expense  (TCOS, ln 86)</v>
      </c>
      <c r="T35" s="132"/>
      <c r="U35" s="754"/>
    </row>
    <row r="36" spans="1:21" ht="15.5">
      <c r="A36" s="328">
        <f t="shared" si="0"/>
        <v>20</v>
      </c>
      <c r="C36" s="1651" t="s">
        <v>377</v>
      </c>
      <c r="D36" s="353"/>
      <c r="F36" s="1663">
        <f>+SUM(F32:F35)</f>
        <v>2562.0005503577318</v>
      </c>
      <c r="G36" s="353"/>
      <c r="H36" s="353"/>
      <c r="I36" s="353"/>
      <c r="J36" s="353"/>
      <c r="K36" s="353"/>
      <c r="L36" s="798"/>
      <c r="M36" s="798"/>
      <c r="N36" s="798"/>
      <c r="O36" s="798"/>
      <c r="P36" s="798"/>
      <c r="Q36" s="353"/>
      <c r="R36" s="1760"/>
      <c r="S36" s="272"/>
      <c r="T36" s="132"/>
    </row>
    <row r="37" spans="1:21" ht="12.75" customHeight="1">
      <c r="A37" s="328"/>
      <c r="C37" s="317"/>
      <c r="D37" s="353"/>
      <c r="E37" s="353"/>
      <c r="F37" s="353"/>
      <c r="G37" s="353"/>
      <c r="H37" s="353"/>
      <c r="I37" s="353"/>
      <c r="J37" s="353"/>
      <c r="K37" s="353"/>
      <c r="L37" s="798"/>
      <c r="M37" s="798"/>
      <c r="N37" s="798"/>
      <c r="O37" s="798"/>
      <c r="P37" s="798"/>
      <c r="Q37" s="353"/>
      <c r="R37" s="279"/>
      <c r="T37" s="132"/>
    </row>
    <row r="38" spans="1:21" ht="18">
      <c r="A38" s="328"/>
      <c r="B38" s="743" t="s">
        <v>310</v>
      </c>
      <c r="C38" s="741" t="str">
        <f>"Calculate Net Plant Carrying Charge Rate (Fixed Charge Rate or FCR) with hypothetical "&amp;F12&amp;" basis point"</f>
        <v>Calculate Net Plant Carrying Charge Rate (Fixed Charge Rate or FCR) with hypothetical 0 basis point</v>
      </c>
      <c r="D38" s="353"/>
      <c r="E38" s="353"/>
      <c r="F38" s="353"/>
      <c r="G38" s="353"/>
      <c r="H38" s="353"/>
      <c r="I38" s="353"/>
      <c r="J38" s="353"/>
      <c r="K38" s="353"/>
      <c r="L38" s="798"/>
      <c r="M38" s="798"/>
      <c r="N38" s="798"/>
      <c r="O38" s="798"/>
      <c r="P38" s="798"/>
      <c r="Q38" s="353"/>
      <c r="R38" s="279"/>
      <c r="T38" s="132"/>
    </row>
    <row r="39" spans="1:21" ht="18.75" customHeight="1">
      <c r="A39" s="328"/>
      <c r="B39" s="743"/>
      <c r="C39" s="741" t="str">
        <f>"ROE increase."</f>
        <v>ROE increase.</v>
      </c>
      <c r="D39" s="353"/>
      <c r="E39" s="353"/>
      <c r="F39" s="353"/>
      <c r="G39" s="353"/>
      <c r="H39" s="353"/>
      <c r="I39" s="353"/>
      <c r="J39" s="353"/>
      <c r="K39" s="353"/>
      <c r="L39" s="353"/>
      <c r="M39" s="353"/>
      <c r="N39" s="353"/>
      <c r="O39" s="353"/>
      <c r="P39" s="289"/>
      <c r="Q39" s="353"/>
      <c r="R39" s="578" t="s">
        <v>166</v>
      </c>
      <c r="S39" s="740" t="s">
        <v>433</v>
      </c>
    </row>
    <row r="40" spans="1:21" ht="12.75" customHeight="1">
      <c r="A40" s="328"/>
      <c r="C40" s="317"/>
      <c r="D40" s="353"/>
      <c r="E40" s="353"/>
      <c r="F40" s="353"/>
      <c r="G40" s="353"/>
      <c r="H40" s="353"/>
      <c r="I40" s="353"/>
      <c r="J40" s="353"/>
      <c r="K40" s="353"/>
      <c r="P40" s="289"/>
      <c r="Q40" s="353"/>
      <c r="R40" s="279"/>
    </row>
    <row r="41" spans="1:21" ht="15.5">
      <c r="A41" s="328"/>
      <c r="C41" s="745" t="s">
        <v>148</v>
      </c>
      <c r="D41" s="353"/>
      <c r="E41" s="353"/>
      <c r="F41" s="83"/>
      <c r="G41" s="83"/>
      <c r="H41" s="353"/>
      <c r="I41" s="353"/>
      <c r="J41" s="353"/>
      <c r="K41" s="353"/>
      <c r="P41" s="289"/>
      <c r="Q41" s="353"/>
      <c r="R41" s="740" t="s">
        <v>167</v>
      </c>
      <c r="S41" s="740" t="s">
        <v>433</v>
      </c>
    </row>
    <row r="42" spans="1:21" ht="12.75" customHeight="1">
      <c r="A42" s="328">
        <f>+A36+1</f>
        <v>21</v>
      </c>
      <c r="C42" s="27" t="str">
        <f>"   Net Revenue Requirement  (TCOS, ln "&amp;'SWT TCOS'!B193&amp;")"</f>
        <v xml:space="preserve">   Net Revenue Requirement  (TCOS, ln 117)</v>
      </c>
      <c r="D42" s="1664"/>
      <c r="E42" s="1664"/>
      <c r="F42" s="1643">
        <f>+'SWT TCOS'!L193</f>
        <v>100832.38796693773</v>
      </c>
      <c r="G42" s="1643"/>
      <c r="H42" s="1664"/>
      <c r="I42" s="1664"/>
      <c r="J42" s="1664"/>
      <c r="K42" s="1664"/>
      <c r="L42" s="1664"/>
      <c r="M42" s="1664"/>
      <c r="N42" s="1664"/>
      <c r="O42" s="1664"/>
      <c r="P42" s="1643"/>
      <c r="Q42" s="1664"/>
      <c r="R42" s="740"/>
      <c r="S42" s="578"/>
    </row>
    <row r="43" spans="1:21" ht="13">
      <c r="A43" s="328">
        <f t="shared" si="0"/>
        <v>22</v>
      </c>
      <c r="C43" s="27" t="str">
        <f>"   Return  (TCOS, ln "&amp;'SWT TCOS'!B184&amp;")"</f>
        <v xml:space="preserve">   Return  (TCOS, ln 112)</v>
      </c>
      <c r="D43" s="1664"/>
      <c r="E43" s="1664"/>
      <c r="F43" s="1633">
        <f>+'SWT TCOS'!L184</f>
        <v>1147.0294165799876</v>
      </c>
      <c r="G43" s="1633"/>
      <c r="H43" s="1667"/>
      <c r="I43" s="1667"/>
      <c r="J43" s="1667"/>
      <c r="K43" s="1667"/>
      <c r="L43" s="1667"/>
      <c r="M43" s="1667"/>
      <c r="N43" s="1667"/>
      <c r="O43" s="1667"/>
      <c r="P43" s="1643"/>
      <c r="Q43" s="1667"/>
      <c r="R43" s="740"/>
      <c r="S43" s="578"/>
    </row>
    <row r="44" spans="1:21" ht="13">
      <c r="A44" s="328">
        <f t="shared" si="0"/>
        <v>23</v>
      </c>
      <c r="C44" s="27" t="str">
        <f>"   Income Taxes  (TCOS, ln "&amp;'SWT TCOS'!B182&amp;")"</f>
        <v xml:space="preserve">   Income Taxes  (TCOS, ln 111)</v>
      </c>
      <c r="D44" s="1664"/>
      <c r="E44" s="1664"/>
      <c r="F44" s="1643">
        <f>+'SWT TCOS'!L182</f>
        <v>2562.0005503577318</v>
      </c>
      <c r="G44" s="1643"/>
      <c r="H44" s="1664"/>
      <c r="I44" s="1664"/>
      <c r="J44" s="1664"/>
      <c r="K44" s="1664"/>
      <c r="L44" s="1670"/>
      <c r="M44" s="1670"/>
      <c r="N44" s="1670"/>
      <c r="O44" s="1670"/>
      <c r="P44" s="1664"/>
      <c r="Q44" s="1670"/>
      <c r="R44" s="746" t="s">
        <v>163</v>
      </c>
      <c r="S44" s="740" t="s">
        <v>70</v>
      </c>
    </row>
    <row r="45" spans="1:21" ht="13.5" thickBot="1">
      <c r="A45" s="328">
        <f t="shared" si="0"/>
        <v>24</v>
      </c>
      <c r="C45" s="27" t="str">
        <f>"  Gross Margin Taxes  (TCOS, ln "&amp;'SWT TCOS'!B191&amp;")"</f>
        <v xml:space="preserve">  Gross Margin Taxes  (TCOS, ln 116)</v>
      </c>
      <c r="D45" s="1664"/>
      <c r="E45" s="1664"/>
      <c r="F45" s="1671">
        <f>+'SWT TCOS'!L191</f>
        <v>0</v>
      </c>
      <c r="G45" s="1643"/>
      <c r="H45" s="1664"/>
      <c r="I45" s="1664"/>
      <c r="J45" s="1664"/>
      <c r="K45" s="1664"/>
      <c r="L45" s="1670"/>
      <c r="M45" s="1670"/>
      <c r="N45" s="1670"/>
      <c r="O45" s="1670"/>
      <c r="P45" s="1664"/>
      <c r="Q45" s="1670"/>
      <c r="R45" s="740" t="s">
        <v>434</v>
      </c>
    </row>
    <row r="46" spans="1:21">
      <c r="A46" s="328">
        <f t="shared" si="0"/>
        <v>25</v>
      </c>
      <c r="C46" s="272" t="s">
        <v>23</v>
      </c>
      <c r="D46" s="1664"/>
      <c r="E46" s="1664"/>
      <c r="F46" s="1633">
        <f>F42-F43-F44-F45</f>
        <v>97123.358000000022</v>
      </c>
      <c r="G46" s="1633"/>
      <c r="H46" s="7"/>
      <c r="I46" s="1664"/>
      <c r="J46" s="1664"/>
      <c r="K46" s="1664"/>
      <c r="L46" s="7"/>
      <c r="M46" s="7"/>
      <c r="N46" s="7"/>
      <c r="O46" s="7"/>
      <c r="P46" s="7"/>
      <c r="Q46" s="7"/>
      <c r="R46" s="835"/>
      <c r="S46" s="279" t="str">
        <f>+L18&amp;" "&amp;N16</f>
        <v>∑ True Up Year Projected  WS-F   Rev Require</v>
      </c>
    </row>
    <row r="47" spans="1:21">
      <c r="A47" s="328"/>
      <c r="C47" s="27"/>
      <c r="D47" s="1664"/>
      <c r="E47" s="1664"/>
      <c r="F47" s="1643"/>
      <c r="G47" s="1643"/>
      <c r="H47" s="1672"/>
      <c r="I47" s="1673"/>
      <c r="J47" s="1673"/>
      <c r="K47" s="1673"/>
      <c r="L47" s="1673"/>
      <c r="M47" s="1673"/>
      <c r="N47" s="1673"/>
      <c r="O47" s="1673"/>
      <c r="P47" s="1673"/>
      <c r="Q47" s="1673"/>
      <c r="R47" s="837"/>
      <c r="S47" s="279" t="str">
        <f>+L18&amp;" "&amp;O16</f>
        <v>∑ True Up Year Projected  WS-F    With Incentives</v>
      </c>
    </row>
    <row r="48" spans="1:21" ht="15.5">
      <c r="A48" s="328"/>
      <c r="C48" s="745" t="str">
        <f>"B.   Determine Net Revenue Requirement with hypothetical "&amp;F12&amp;" basis point increase in ROE."</f>
        <v>B.   Determine Net Revenue Requirement with hypothetical 0 basis point increase in ROE.</v>
      </c>
      <c r="D48" s="1608"/>
      <c r="E48" s="1608"/>
      <c r="F48" s="1643"/>
      <c r="G48" s="1643"/>
      <c r="H48" s="1672"/>
      <c r="I48" s="1673"/>
      <c r="J48" s="1673"/>
      <c r="K48" s="1673"/>
      <c r="L48" s="1673"/>
      <c r="M48" s="1673"/>
      <c r="N48" s="1673"/>
      <c r="O48" s="1673"/>
      <c r="P48" s="1673"/>
      <c r="Q48" s="1673"/>
      <c r="R48" s="1761"/>
      <c r="S48" s="279" t="str">
        <f>+L19&amp;" "&amp;N16</f>
        <v>∑ True-Up Year True-Up WS-G   Rev Require</v>
      </c>
    </row>
    <row r="49" spans="1:19" ht="13" thickBot="1">
      <c r="A49" s="328">
        <f>+A46+1</f>
        <v>26</v>
      </c>
      <c r="C49" s="27" t="str">
        <f>C46</f>
        <v xml:space="preserve">   Net Revenue Requirement, Less Return and Taxes</v>
      </c>
      <c r="D49" s="1608"/>
      <c r="E49" s="1608"/>
      <c r="F49" s="1643">
        <f>F46</f>
        <v>97123.358000000022</v>
      </c>
      <c r="G49" s="1643"/>
      <c r="H49" s="1672"/>
      <c r="I49" s="1673"/>
      <c r="J49" s="1673"/>
      <c r="K49" s="1673"/>
      <c r="L49" s="1673"/>
      <c r="M49" s="1673"/>
      <c r="N49" s="1673"/>
      <c r="O49" s="1673"/>
      <c r="P49" s="1673"/>
      <c r="Q49" s="1673"/>
      <c r="R49" s="838"/>
      <c r="S49" s="279" t="str">
        <f>+L19&amp;" "&amp;O16</f>
        <v>∑ True-Up Year True-Up WS-G    With Incentives</v>
      </c>
    </row>
    <row r="50" spans="1:19" ht="13">
      <c r="A50" s="328">
        <f t="shared" ref="A50:A56" si="1">+A49+1</f>
        <v>27</v>
      </c>
      <c r="C50" s="1608" t="s">
        <v>385</v>
      </c>
      <c r="D50" s="1674"/>
      <c r="E50" s="272"/>
      <c r="F50" s="1675">
        <f>E25</f>
        <v>0</v>
      </c>
      <c r="G50" s="1643"/>
      <c r="H50" s="1664"/>
      <c r="I50" s="1664"/>
      <c r="J50" s="1664"/>
      <c r="K50" s="1664"/>
      <c r="L50" s="1664"/>
      <c r="M50" s="1664"/>
      <c r="N50" s="1664"/>
      <c r="O50" s="1664"/>
      <c r="P50" s="841"/>
      <c r="Q50" s="1664"/>
    </row>
    <row r="51" spans="1:19">
      <c r="A51" s="328">
        <f t="shared" si="1"/>
        <v>28</v>
      </c>
      <c r="C51" s="27" t="s">
        <v>378</v>
      </c>
      <c r="D51" s="1664"/>
      <c r="E51" s="1664"/>
      <c r="F51" s="844">
        <f>F36</f>
        <v>2562.0005503577318</v>
      </c>
      <c r="G51" s="1675"/>
      <c r="H51" s="272"/>
      <c r="I51" s="1409"/>
      <c r="J51" s="1409"/>
      <c r="K51" s="1409"/>
      <c r="L51" s="272"/>
      <c r="M51" s="272"/>
      <c r="N51" s="272"/>
      <c r="O51" s="272"/>
      <c r="P51" s="272"/>
    </row>
    <row r="52" spans="1:19" ht="12.75" customHeight="1">
      <c r="A52" s="328">
        <f t="shared" si="1"/>
        <v>29</v>
      </c>
      <c r="C52" s="272" t="str">
        <f>"   Net Revenue Requirement, with "&amp;F12&amp;" Basis Point ROE increase"</f>
        <v xml:space="preserve">   Net Revenue Requirement, with 0 Basis Point ROE increase</v>
      </c>
      <c r="F52" s="1658">
        <f>SUM(F49:F51)</f>
        <v>99685.358550357749</v>
      </c>
      <c r="G52" s="845"/>
    </row>
    <row r="53" spans="1:19">
      <c r="A53" s="328">
        <f t="shared" si="1"/>
        <v>30</v>
      </c>
      <c r="C53" s="1661" t="str">
        <f>"   Gross Margin Tax with "&amp;F87&amp;" Basis Point ROE Increase (II C. below)"</f>
        <v xml:space="preserve">   Gross Margin Tax with  Basis Point ROE Increase (II C. below)</v>
      </c>
      <c r="D53" s="326"/>
      <c r="E53" s="326"/>
      <c r="F53" s="1676">
        <f>+F68</f>
        <v>0</v>
      </c>
      <c r="G53" s="1658"/>
    </row>
    <row r="54" spans="1:19">
      <c r="A54" s="328">
        <f t="shared" si="1"/>
        <v>31</v>
      </c>
      <c r="C54" s="272" t="s">
        <v>24</v>
      </c>
      <c r="F54" s="1675">
        <f>+F52+F53</f>
        <v>99685.358550357749</v>
      </c>
      <c r="G54" s="1675"/>
    </row>
    <row r="55" spans="1:19">
      <c r="A55" s="328">
        <f t="shared" si="1"/>
        <v>32</v>
      </c>
      <c r="C55" s="27" t="str">
        <f>"   Less: Depreciation  (TCOS, ln "&amp;'SWT TCOS'!B153&amp;")"</f>
        <v xml:space="preserve">   Less: Depreciation  (TCOS, ln 86)</v>
      </c>
      <c r="F55" s="847">
        <f>+'SWT TCOS'!L153</f>
        <v>0</v>
      </c>
      <c r="G55" s="1675"/>
    </row>
    <row r="56" spans="1:19">
      <c r="A56" s="328">
        <f t="shared" si="1"/>
        <v>33</v>
      </c>
      <c r="C56" s="272" t="str">
        <f>"   Net Rev. Req, w/"&amp;F12&amp;" Basis Point ROE increase, less Depreciation"</f>
        <v xml:space="preserve">   Net Rev. Req, w/0 Basis Point ROE increase, less Depreciation</v>
      </c>
      <c r="F56" s="1658">
        <f>F54-F55</f>
        <v>99685.358550357749</v>
      </c>
      <c r="G56" s="847"/>
    </row>
    <row r="57" spans="1:19">
      <c r="A57" s="328"/>
      <c r="G57" s="1658"/>
    </row>
    <row r="58" spans="1:19" ht="15.5">
      <c r="A58" s="328"/>
      <c r="C58" s="745" t="str">
        <f>"C.   Determine Gross Margin Tax with hypothetical "&amp;F12&amp;" basis point increase in ROE."</f>
        <v>C.   Determine Gross Margin Tax with hypothetical 0 basis point increase in ROE.</v>
      </c>
      <c r="D58" s="326"/>
      <c r="E58" s="326"/>
      <c r="F58" s="1658"/>
    </row>
    <row r="59" spans="1:19">
      <c r="A59" s="328">
        <f>+A56+1</f>
        <v>34</v>
      </c>
      <c r="C59" s="1661" t="str">
        <f>"   Net Revenue Requirement before Gross Margin Taxes, with "&amp;F12&amp;" "</f>
        <v xml:space="preserve">   Net Revenue Requirement before Gross Margin Taxes, with 0 </v>
      </c>
      <c r="D59" s="326"/>
      <c r="E59" s="326"/>
      <c r="F59" s="1658">
        <f>+F52</f>
        <v>99685.358550357749</v>
      </c>
      <c r="G59" s="1658"/>
    </row>
    <row r="60" spans="1:19">
      <c r="A60" s="328">
        <f t="shared" ref="A60:A68" si="2">+A59+1</f>
        <v>35</v>
      </c>
      <c r="C60" s="1661" t="s">
        <v>25</v>
      </c>
      <c r="D60" s="326"/>
      <c r="E60" s="326"/>
      <c r="F60" s="1658"/>
      <c r="G60" s="1658"/>
    </row>
    <row r="61" spans="1:19">
      <c r="A61" s="328">
        <f t="shared" si="2"/>
        <v>36</v>
      </c>
      <c r="C61" s="272" t="str">
        <f>"       Apportionment Factor to Texas (Worksheet K, ln "&amp;'SWT WS K State Taxes'!A53&amp;")"</f>
        <v xml:space="preserve">       Apportionment Factor to Texas (Worksheet K, ln 12)</v>
      </c>
      <c r="F61" s="1677">
        <f>+'SWT WS K State Taxes'!E53</f>
        <v>0</v>
      </c>
      <c r="G61" s="1658"/>
    </row>
    <row r="62" spans="1:19">
      <c r="A62" s="328">
        <f t="shared" si="2"/>
        <v>37</v>
      </c>
      <c r="C62" s="272" t="s">
        <v>26</v>
      </c>
      <c r="F62" s="1658">
        <f>+F61*F59</f>
        <v>0</v>
      </c>
      <c r="G62" s="1657"/>
    </row>
    <row r="63" spans="1:19">
      <c r="A63" s="328">
        <f t="shared" si="2"/>
        <v>38</v>
      </c>
      <c r="C63" s="272" t="s">
        <v>674</v>
      </c>
      <c r="F63" s="1678">
        <v>0.22</v>
      </c>
      <c r="G63" s="1658"/>
    </row>
    <row r="64" spans="1:19">
      <c r="A64" s="328">
        <f t="shared" si="2"/>
        <v>39</v>
      </c>
      <c r="C64" s="272" t="s">
        <v>27</v>
      </c>
      <c r="F64" s="1658">
        <f>+F62*F63</f>
        <v>0</v>
      </c>
      <c r="G64" s="1679"/>
    </row>
    <row r="65" spans="1:8">
      <c r="A65" s="328">
        <f t="shared" si="2"/>
        <v>40</v>
      </c>
      <c r="C65" s="272" t="s">
        <v>28</v>
      </c>
      <c r="F65" s="1678">
        <v>0.01</v>
      </c>
      <c r="G65" s="1658"/>
    </row>
    <row r="66" spans="1:8">
      <c r="A66" s="328">
        <f t="shared" si="2"/>
        <v>41</v>
      </c>
      <c r="C66" s="272" t="s">
        <v>29</v>
      </c>
      <c r="F66" s="1658">
        <f>+F64*F65</f>
        <v>0</v>
      </c>
      <c r="G66" s="1679"/>
    </row>
    <row r="67" spans="1:8">
      <c r="A67" s="328">
        <f t="shared" si="2"/>
        <v>42</v>
      </c>
      <c r="C67" s="272" t="s">
        <v>30</v>
      </c>
      <c r="F67" s="1680">
        <f>+ROUND((F66*F63*F61)/(1-F65)*F65,0)</f>
        <v>0</v>
      </c>
      <c r="G67" s="1658"/>
    </row>
    <row r="68" spans="1:8">
      <c r="A68" s="328">
        <f t="shared" si="2"/>
        <v>43</v>
      </c>
      <c r="C68" s="272" t="s">
        <v>31</v>
      </c>
      <c r="F68" s="1658">
        <f>+F66+F67</f>
        <v>0</v>
      </c>
      <c r="G68" s="1576"/>
    </row>
    <row r="69" spans="1:8">
      <c r="A69" s="328"/>
      <c r="G69" s="1658"/>
    </row>
    <row r="70" spans="1:8" ht="15.5">
      <c r="A70" s="328"/>
      <c r="C70" s="745" t="str">
        <f>"D.   Determine FCR with hypothetical "&amp;F12&amp;" basis point ROE increase."</f>
        <v>D.   Determine FCR with hypothetical 0 basis point ROE increase.</v>
      </c>
    </row>
    <row r="71" spans="1:8">
      <c r="A71" s="328">
        <f>+A68+1</f>
        <v>44</v>
      </c>
      <c r="C71" s="27" t="str">
        <f>"   Net Transmission Plant  (TCOS, ln "&amp;'SWT TCOS'!B79&amp;")"</f>
        <v xml:space="preserve">   Net Transmission Plant  (TCOS, ln 37)</v>
      </c>
      <c r="F71" s="1658">
        <f>+'SWT TCOS'!L79</f>
        <v>7.6923076923076925E-7</v>
      </c>
    </row>
    <row r="72" spans="1:8" ht="14">
      <c r="A72" s="328">
        <f>+A71+1</f>
        <v>45</v>
      </c>
      <c r="C72" s="272" t="str">
        <f>"   Net Revenue Requirement, with "&amp;F12&amp;" Basis Point ROE increase"</f>
        <v xml:space="preserve">   Net Revenue Requirement, with 0 Basis Point ROE increase</v>
      </c>
      <c r="F72" s="852">
        <f>+F54</f>
        <v>99685.358550357749</v>
      </c>
      <c r="G72" s="1658"/>
    </row>
    <row r="73" spans="1:8" ht="14">
      <c r="A73" s="328">
        <f>+A72+1</f>
        <v>46</v>
      </c>
      <c r="C73" s="272" t="str">
        <f>"   FCR with "&amp;F12&amp;" Basis Point increase in ROE"</f>
        <v xml:space="preserve">   FCR with 0 Basis Point increase in ROE</v>
      </c>
      <c r="F73" s="361">
        <f>IF(F71=0,0,F72/F71)</f>
        <v>129590966115.46507</v>
      </c>
      <c r="G73" s="852"/>
    </row>
    <row r="74" spans="1:8">
      <c r="A74" s="328"/>
      <c r="G74" s="361"/>
    </row>
    <row r="75" spans="1:8">
      <c r="A75" s="328">
        <f>+A73+1</f>
        <v>47</v>
      </c>
      <c r="C75" s="272" t="str">
        <f>"   Net Rev. Req, w / "&amp;F12&amp;" Basis Point ROE increase, less Dep."</f>
        <v xml:space="preserve">   Net Rev. Req, w / 0 Basis Point ROE increase, less Dep.</v>
      </c>
      <c r="F75" s="1658">
        <f>+F56</f>
        <v>99685.358550357749</v>
      </c>
      <c r="H75" s="361"/>
    </row>
    <row r="76" spans="1:8">
      <c r="A76" s="328">
        <f t="shared" ref="A76:A85" si="3">+A75+1</f>
        <v>48</v>
      </c>
      <c r="C76" s="272" t="str">
        <f>"   FCR with "&amp;F12&amp;" Basis Point ROE increase, less Depreciation"</f>
        <v xml:space="preserve">   FCR with 0 Basis Point ROE increase, less Depreciation</v>
      </c>
      <c r="F76" s="361">
        <f>IF(F71=0,0,F75/F71)</f>
        <v>129590966115.46507</v>
      </c>
      <c r="G76" s="1658"/>
    </row>
    <row r="77" spans="1:8">
      <c r="A77" s="328">
        <f t="shared" si="3"/>
        <v>49</v>
      </c>
      <c r="C77" s="27" t="str">
        <f>"   FCR less Depreciation  (TCOS, ln "&amp;'SWT TCOS'!B30&amp;")"</f>
        <v xml:space="preserve">   FCR less Depreciation  (TCOS, ln 10)</v>
      </c>
      <c r="F77" s="853">
        <f>+'SWT TCOS'!L30</f>
        <v>131082104357.01906</v>
      </c>
      <c r="G77" s="361"/>
      <c r="H77" s="1658"/>
    </row>
    <row r="78" spans="1:8">
      <c r="A78" s="328">
        <f t="shared" si="3"/>
        <v>50</v>
      </c>
      <c r="C78" s="272" t="str">
        <f>"   Incremental FCR with "&amp;F12&amp;" Basis Point ROE increase, less Depreciation"</f>
        <v xml:space="preserve">   Incremental FCR with 0 Basis Point ROE increase, less Depreciation</v>
      </c>
      <c r="F78" s="361">
        <f>F76-F77</f>
        <v>-1491138241.5539856</v>
      </c>
      <c r="G78" s="853"/>
      <c r="H78" s="1681"/>
    </row>
    <row r="79" spans="1:8">
      <c r="A79" s="328"/>
      <c r="C79" s="272"/>
      <c r="F79" s="361"/>
      <c r="G79" s="361"/>
    </row>
    <row r="80" spans="1:8" ht="18">
      <c r="A80" s="328"/>
      <c r="B80" s="743" t="s">
        <v>311</v>
      </c>
      <c r="C80" s="741" t="s">
        <v>379</v>
      </c>
      <c r="F80" s="361"/>
      <c r="G80" s="361"/>
    </row>
    <row r="81" spans="1:16" ht="12.75" customHeight="1">
      <c r="A81" s="328">
        <f>+A78+1</f>
        <v>51</v>
      </c>
      <c r="C81" s="272" t="str">
        <f>"Transmission Plant Average Balance for "&amp;'SWT TCOS'!$N$2&amp;" (WS A-1 Ln "&amp;'SWT WS A-1 - Plant'!A24&amp;" Col "&amp;'SWT WS A-1 - Plant'!E9&amp;")"</f>
        <v>Transmission Plant Average Balance for 2019 (WS A-1 Ln 14 Col (d))</v>
      </c>
      <c r="F81" s="1409">
        <f>+'SWT WS A-1 - Plant'!E24</f>
        <v>7.6923076923076925E-7</v>
      </c>
      <c r="G81" s="1377"/>
    </row>
    <row r="82" spans="1:16">
      <c r="A82" s="328">
        <f t="shared" si="3"/>
        <v>52</v>
      </c>
      <c r="C82" s="27" t="str">
        <f>"Annual Depreciation Expense  (TCOS, ln "&amp;'SWT TCOS'!B153&amp;")"</f>
        <v>Annual Depreciation Expense  (TCOS, ln 86)</v>
      </c>
      <c r="F82" s="1409">
        <f>+'SWT TCOS'!G153</f>
        <v>0</v>
      </c>
      <c r="G82" s="1409"/>
    </row>
    <row r="83" spans="1:16">
      <c r="A83" s="328">
        <f t="shared" si="3"/>
        <v>53</v>
      </c>
      <c r="C83" s="272" t="s">
        <v>380</v>
      </c>
      <c r="F83" s="361">
        <f>IF(F81=0,0,F82/F81)</f>
        <v>0</v>
      </c>
      <c r="G83" s="1409"/>
    </row>
    <row r="84" spans="1:16">
      <c r="A84" s="328">
        <f t="shared" si="3"/>
        <v>54</v>
      </c>
      <c r="C84" s="272" t="s">
        <v>381</v>
      </c>
      <c r="F84" s="1682">
        <f>IF(F83=0,0,1/F83)</f>
        <v>0</v>
      </c>
      <c r="G84" s="361"/>
      <c r="I84" s="1500"/>
      <c r="J84" s="1500"/>
      <c r="K84" s="1500"/>
    </row>
    <row r="85" spans="1:16">
      <c r="A85" s="328">
        <f t="shared" si="3"/>
        <v>55</v>
      </c>
      <c r="C85" s="272" t="s">
        <v>382</v>
      </c>
      <c r="F85" s="1514">
        <f>ROUND(F84,0)</f>
        <v>0</v>
      </c>
      <c r="G85" s="1682"/>
    </row>
    <row r="86" spans="1:16">
      <c r="A86" s="328"/>
      <c r="C86" s="27"/>
      <c r="D86" s="1608"/>
      <c r="E86" s="1608"/>
      <c r="F86" s="1643"/>
      <c r="G86" s="1514"/>
    </row>
    <row r="87" spans="1:16">
      <c r="C87" s="272"/>
      <c r="F87" s="1514"/>
      <c r="G87" s="1514"/>
    </row>
    <row r="89" spans="1:16" ht="20">
      <c r="A89" s="1762" t="str">
        <f>"Worksheet G  --  "&amp;'SWT TCOS'!F8&amp;"--  Calculation of Trued-Up ARR for SPP Base Plan Upgrade Projects"</f>
        <v>Worksheet G  --  AEP SOUTHWESTERN TRANSMISSION COMPANY--  Calculation of Trued-Up ARR for SPP Base Plan Upgrade Projects</v>
      </c>
      <c r="B89" s="1669"/>
      <c r="C89" s="1763"/>
      <c r="D89" s="1764"/>
      <c r="E89" s="1669"/>
      <c r="F89" s="1765"/>
      <c r="G89" s="1765"/>
      <c r="H89" s="1669"/>
      <c r="I89" s="1685"/>
      <c r="J89" s="1669"/>
      <c r="K89" s="1766"/>
      <c r="L89" s="1767"/>
      <c r="M89" s="1767"/>
      <c r="N89" s="1669"/>
      <c r="O89" s="1669"/>
      <c r="P89" s="1767"/>
    </row>
    <row r="90" spans="1:16" ht="17.5">
      <c r="A90" s="1669"/>
      <c r="B90" s="1669"/>
      <c r="C90" s="1669"/>
      <c r="D90" s="1764"/>
      <c r="E90" s="1669"/>
      <c r="F90" s="1669"/>
      <c r="G90" s="1669"/>
      <c r="H90" s="1669"/>
      <c r="I90" s="1685"/>
      <c r="J90" s="1669"/>
      <c r="K90" s="1766"/>
      <c r="L90" s="1669"/>
      <c r="M90" s="1669"/>
      <c r="N90" s="1669"/>
      <c r="O90" s="1669"/>
      <c r="P90" s="1768"/>
    </row>
    <row r="91" spans="1:16" ht="17.5" thickBot="1">
      <c r="A91" s="1669"/>
      <c r="B91" s="1769" t="s">
        <v>312</v>
      </c>
      <c r="C91" s="1770" t="s">
        <v>481</v>
      </c>
      <c r="D91" s="1764"/>
      <c r="E91" s="1669"/>
      <c r="F91" s="1669"/>
      <c r="G91" s="1669"/>
      <c r="H91" s="1669"/>
      <c r="I91" s="1685"/>
      <c r="J91" s="1685"/>
      <c r="K91" s="1686"/>
      <c r="L91" s="1685"/>
      <c r="M91" s="1685"/>
      <c r="N91" s="1685"/>
      <c r="O91" s="1686"/>
      <c r="P91" s="1669"/>
    </row>
    <row r="92" spans="1:16" ht="16" thickBot="1">
      <c r="A92" s="1669"/>
      <c r="B92" s="1669"/>
      <c r="C92" s="317"/>
      <c r="D92" s="1764"/>
      <c r="E92" s="1669"/>
      <c r="F92" s="1669"/>
      <c r="G92" s="1669"/>
      <c r="H92" s="1669"/>
      <c r="I92" s="1685"/>
      <c r="J92" s="1685"/>
      <c r="K92" s="1686"/>
      <c r="L92" s="1771">
        <f>+M17</f>
        <v>2016</v>
      </c>
      <c r="M92" s="1772" t="s">
        <v>370</v>
      </c>
      <c r="N92" s="1773" t="s">
        <v>482</v>
      </c>
      <c r="O92" s="1774" t="s">
        <v>371</v>
      </c>
      <c r="P92" s="1669"/>
    </row>
    <row r="93" spans="1:16" ht="15.5">
      <c r="A93" s="1669"/>
      <c r="B93" s="1669"/>
      <c r="C93" s="1668" t="s">
        <v>445</v>
      </c>
      <c r="D93" s="1764"/>
      <c r="E93" s="1669"/>
      <c r="F93" s="1669"/>
      <c r="G93" s="1669"/>
      <c r="H93" s="1687"/>
      <c r="I93" s="1775"/>
      <c r="J93" s="1669"/>
      <c r="K93" s="1776"/>
      <c r="L93" s="1777" t="s">
        <v>494</v>
      </c>
      <c r="M93" s="1778"/>
      <c r="N93" s="1778"/>
      <c r="O93" s="1779">
        <v>0</v>
      </c>
      <c r="P93" s="1669"/>
    </row>
    <row r="94" spans="1:16" ht="15.5">
      <c r="A94" s="1669"/>
      <c r="B94" s="1669"/>
      <c r="C94" s="1780"/>
      <c r="D94" s="1764"/>
      <c r="E94" s="1669"/>
      <c r="F94" s="1669"/>
      <c r="G94" s="1669"/>
      <c r="H94" s="1669"/>
      <c r="I94" s="1690"/>
      <c r="J94" s="1690"/>
      <c r="K94" s="1781"/>
      <c r="L94" s="1782" t="s">
        <v>495</v>
      </c>
      <c r="M94" s="1783"/>
      <c r="N94" s="1783"/>
      <c r="O94" s="1784">
        <v>0</v>
      </c>
      <c r="P94" s="1669"/>
    </row>
    <row r="95" spans="1:16" ht="13.5" thickBot="1">
      <c r="A95" s="1669"/>
      <c r="B95" s="1669"/>
      <c r="C95" s="1785" t="s">
        <v>483</v>
      </c>
      <c r="D95" s="879"/>
      <c r="E95" s="879"/>
      <c r="F95" s="1669"/>
      <c r="G95" s="1669"/>
      <c r="H95" s="1669"/>
      <c r="I95" s="1685"/>
      <c r="J95" s="1685"/>
      <c r="K95" s="1733"/>
      <c r="L95" s="1786" t="s">
        <v>484</v>
      </c>
      <c r="M95" s="1787"/>
      <c r="N95" s="1787"/>
      <c r="O95" s="1788">
        <v>0</v>
      </c>
      <c r="P95" s="1669"/>
    </row>
    <row r="96" spans="1:16" ht="13.5" thickBot="1">
      <c r="A96" s="1669"/>
      <c r="B96" s="1669"/>
      <c r="C96" s="1785"/>
      <c r="D96" s="1789" t="s">
        <v>336</v>
      </c>
      <c r="E96" s="1790"/>
      <c r="F96" s="1790"/>
      <c r="G96" s="1790"/>
      <c r="H96" s="1791"/>
      <c r="I96" s="1685"/>
      <c r="J96" s="1685"/>
      <c r="K96" s="1686"/>
      <c r="L96" s="1685"/>
      <c r="M96" s="1685"/>
      <c r="N96" s="1685"/>
      <c r="O96" s="1686"/>
      <c r="P96" s="1669"/>
    </row>
    <row r="97" spans="1:16" ht="13.5" thickBot="1">
      <c r="A97" s="1792"/>
      <c r="B97" s="1669"/>
      <c r="C97" s="1793" t="s">
        <v>485</v>
      </c>
      <c r="D97" s="885"/>
      <c r="E97" s="1697" t="s">
        <v>639</v>
      </c>
      <c r="F97" s="1794"/>
      <c r="G97" s="1794"/>
      <c r="H97" s="1794"/>
      <c r="I97" s="1794"/>
      <c r="J97" s="1794"/>
      <c r="K97" s="1795"/>
      <c r="L97" s="1669"/>
      <c r="M97" s="1669"/>
      <c r="N97" s="1669"/>
      <c r="O97" s="1669"/>
      <c r="P97" s="1796"/>
    </row>
    <row r="98" spans="1:16" ht="15.5">
      <c r="A98" s="1669"/>
      <c r="B98" s="1669"/>
      <c r="C98" s="1797" t="s">
        <v>449</v>
      </c>
      <c r="D98" s="1001"/>
      <c r="E98" s="1763" t="s">
        <v>125</v>
      </c>
      <c r="F98" s="1669"/>
      <c r="G98" s="1669"/>
      <c r="H98" s="1798"/>
      <c r="I98" s="1798"/>
      <c r="J98" s="1799">
        <f>+M17</f>
        <v>2016</v>
      </c>
      <c r="K98" s="1800"/>
      <c r="L98" s="1686" t="s">
        <v>486</v>
      </c>
      <c r="M98" s="1669"/>
      <c r="N98" s="1669"/>
      <c r="O98" s="1669"/>
      <c r="P98" s="1766"/>
    </row>
    <row r="99" spans="1:16" ht="15.5">
      <c r="A99" s="1669"/>
      <c r="B99" s="1669"/>
      <c r="C99" s="1801" t="s">
        <v>451</v>
      </c>
      <c r="D99" s="1006"/>
      <c r="E99" s="1801" t="s">
        <v>452</v>
      </c>
      <c r="F99" s="1798"/>
      <c r="G99" s="1798"/>
      <c r="H99" s="1669"/>
      <c r="I99" s="1669"/>
      <c r="J99" s="1802">
        <v>0</v>
      </c>
      <c r="K99" s="1803"/>
      <c r="L99" s="1669" t="s">
        <v>488</v>
      </c>
      <c r="M99" s="1669"/>
      <c r="N99" s="1669"/>
      <c r="O99" s="1669"/>
      <c r="P99" s="1766"/>
    </row>
    <row r="100" spans="1:16" ht="15.5">
      <c r="A100" s="1669"/>
      <c r="B100" s="1669"/>
      <c r="C100" s="1801" t="s">
        <v>453</v>
      </c>
      <c r="D100" s="1006"/>
      <c r="E100" s="1801" t="s">
        <v>454</v>
      </c>
      <c r="F100" s="1798"/>
      <c r="G100" s="1798"/>
      <c r="H100" s="1669"/>
      <c r="I100" s="1669"/>
      <c r="J100" s="1804">
        <f>+F77</f>
        <v>131082104357.01906</v>
      </c>
      <c r="K100" s="1805"/>
      <c r="L100" s="1669" t="s">
        <v>489</v>
      </c>
      <c r="M100" s="1669"/>
      <c r="N100" s="1669"/>
      <c r="O100" s="1669"/>
      <c r="P100" s="1766"/>
    </row>
    <row r="101" spans="1:16" ht="15.5">
      <c r="A101" s="1669"/>
      <c r="B101" s="1669"/>
      <c r="C101" s="1801" t="s">
        <v>456</v>
      </c>
      <c r="D101" s="1006"/>
      <c r="E101" s="1801" t="s">
        <v>457</v>
      </c>
      <c r="F101" s="1798"/>
      <c r="G101" s="1798"/>
      <c r="H101" s="1669"/>
      <c r="I101" s="1669"/>
      <c r="J101" s="1705">
        <f>IF(H93="",J100,F76)</f>
        <v>131082104357.01906</v>
      </c>
      <c r="K101" s="1806"/>
      <c r="L101" s="1686" t="s">
        <v>458</v>
      </c>
      <c r="M101" s="1806"/>
      <c r="N101" s="1806"/>
      <c r="O101" s="1806"/>
      <c r="P101" s="1766"/>
    </row>
    <row r="102" spans="1:16" ht="16" thickBot="1">
      <c r="A102" s="1669"/>
      <c r="B102" s="1669"/>
      <c r="C102" s="1801" t="s">
        <v>459</v>
      </c>
      <c r="D102" s="1006"/>
      <c r="E102" s="1807" t="s">
        <v>460</v>
      </c>
      <c r="F102" s="1808"/>
      <c r="G102" s="1808"/>
      <c r="H102" s="1809"/>
      <c r="I102" s="1809"/>
      <c r="J102" s="1696"/>
      <c r="K102" s="1686"/>
      <c r="L102" s="1686"/>
      <c r="M102" s="1686"/>
      <c r="N102" s="1686"/>
      <c r="O102" s="1686"/>
      <c r="P102" s="1766"/>
    </row>
    <row r="103" spans="1:16" ht="39">
      <c r="A103" s="1810"/>
      <c r="B103" s="1810"/>
      <c r="C103" s="1811" t="s">
        <v>383</v>
      </c>
      <c r="D103" s="1712" t="s">
        <v>461</v>
      </c>
      <c r="E103" s="1712" t="s">
        <v>462</v>
      </c>
      <c r="F103" s="1712" t="s">
        <v>463</v>
      </c>
      <c r="G103" s="1812" t="s">
        <v>179</v>
      </c>
      <c r="H103" s="1813" t="s">
        <v>490</v>
      </c>
      <c r="I103" s="1813" t="s">
        <v>465</v>
      </c>
      <c r="J103" s="1811" t="s">
        <v>491</v>
      </c>
      <c r="K103" s="1814"/>
      <c r="L103" s="1713" t="s">
        <v>492</v>
      </c>
      <c r="M103" s="1713" t="s">
        <v>493</v>
      </c>
      <c r="N103" s="1713" t="s">
        <v>492</v>
      </c>
      <c r="O103" s="1713" t="s">
        <v>493</v>
      </c>
      <c r="P103" s="1713" t="s">
        <v>469</v>
      </c>
    </row>
    <row r="104" spans="1:16" ht="13.5" thickBot="1">
      <c r="A104" s="1669"/>
      <c r="B104" s="1669"/>
      <c r="C104" s="1815" t="s">
        <v>470</v>
      </c>
      <c r="D104" s="1816" t="s">
        <v>315</v>
      </c>
      <c r="E104" s="1817" t="s">
        <v>214</v>
      </c>
      <c r="F104" s="1817" t="s">
        <v>315</v>
      </c>
      <c r="G104" s="1817" t="s">
        <v>315</v>
      </c>
      <c r="H104" s="1717" t="s">
        <v>471</v>
      </c>
      <c r="I104" s="1714" t="s">
        <v>472</v>
      </c>
      <c r="J104" s="1817" t="s">
        <v>632</v>
      </c>
      <c r="K104" s="1818"/>
      <c r="L104" s="1716" t="s">
        <v>474</v>
      </c>
      <c r="M104" s="1716" t="s">
        <v>474</v>
      </c>
      <c r="N104" s="1716" t="s">
        <v>633</v>
      </c>
      <c r="O104" s="1716" t="s">
        <v>633</v>
      </c>
      <c r="P104" s="1716" t="s">
        <v>633</v>
      </c>
    </row>
    <row r="105" spans="1:16">
      <c r="A105" s="1669"/>
      <c r="B105" s="1669"/>
      <c r="C105" s="1819" t="s">
        <v>487</v>
      </c>
      <c r="D105" s="1820">
        <v>0</v>
      </c>
      <c r="E105" s="1727">
        <v>0</v>
      </c>
      <c r="F105" s="1821">
        <v>0</v>
      </c>
      <c r="G105" s="1822">
        <v>0</v>
      </c>
      <c r="H105" s="1823">
        <v>0</v>
      </c>
      <c r="I105" s="1824">
        <v>0</v>
      </c>
      <c r="J105" s="1825">
        <v>0</v>
      </c>
      <c r="K105" s="1825"/>
      <c r="L105" s="1826"/>
      <c r="M105" s="1827">
        <v>0</v>
      </c>
      <c r="N105" s="1826"/>
      <c r="O105" s="1827">
        <v>0</v>
      </c>
      <c r="P105" s="1827">
        <v>0</v>
      </c>
    </row>
    <row r="106" spans="1:16">
      <c r="A106" s="1669"/>
      <c r="B106" s="1764"/>
      <c r="C106" s="1819">
        <v>2014</v>
      </c>
      <c r="D106" s="1820">
        <v>0</v>
      </c>
      <c r="E106" s="1727">
        <v>0</v>
      </c>
      <c r="F106" s="1821">
        <v>0</v>
      </c>
      <c r="G106" s="1821">
        <v>0</v>
      </c>
      <c r="H106" s="1730">
        <v>0</v>
      </c>
      <c r="I106" s="1828">
        <v>0</v>
      </c>
      <c r="J106" s="1825">
        <v>0</v>
      </c>
      <c r="K106" s="1825"/>
      <c r="L106" s="1829"/>
      <c r="M106" s="1825">
        <v>0</v>
      </c>
      <c r="N106" s="1829"/>
      <c r="O106" s="1825">
        <v>0</v>
      </c>
      <c r="P106" s="1825">
        <v>0</v>
      </c>
    </row>
    <row r="107" spans="1:16">
      <c r="A107" s="1669"/>
      <c r="B107" s="1764" t="s">
        <v>336</v>
      </c>
      <c r="C107" s="1819">
        <v>2015</v>
      </c>
      <c r="D107" s="1820">
        <v>0</v>
      </c>
      <c r="E107" s="1727">
        <v>0</v>
      </c>
      <c r="F107" s="1821">
        <v>0</v>
      </c>
      <c r="G107" s="1821">
        <v>0</v>
      </c>
      <c r="H107" s="1730">
        <v>0</v>
      </c>
      <c r="I107" s="1828">
        <v>0</v>
      </c>
      <c r="J107" s="1825">
        <v>0</v>
      </c>
      <c r="K107" s="1825"/>
      <c r="L107" s="1829"/>
      <c r="M107" s="1825">
        <v>0</v>
      </c>
      <c r="N107" s="1829"/>
      <c r="O107" s="1825">
        <v>0</v>
      </c>
      <c r="P107" s="1825">
        <v>0</v>
      </c>
    </row>
    <row r="108" spans="1:16">
      <c r="A108" s="1669"/>
      <c r="B108" s="1764" t="s">
        <v>336</v>
      </c>
      <c r="C108" s="1819">
        <v>2016</v>
      </c>
      <c r="D108" s="1820">
        <v>0</v>
      </c>
      <c r="E108" s="1727">
        <v>0</v>
      </c>
      <c r="F108" s="1821">
        <v>0</v>
      </c>
      <c r="G108" s="1821">
        <v>0</v>
      </c>
      <c r="H108" s="1730">
        <v>0</v>
      </c>
      <c r="I108" s="1828">
        <v>0</v>
      </c>
      <c r="J108" s="1825">
        <v>0</v>
      </c>
      <c r="K108" s="1825"/>
      <c r="L108" s="1829"/>
      <c r="M108" s="1825">
        <v>0</v>
      </c>
      <c r="N108" s="1829"/>
      <c r="O108" s="1825">
        <v>0</v>
      </c>
      <c r="P108" s="1825">
        <v>0</v>
      </c>
    </row>
    <row r="109" spans="1:16">
      <c r="A109" s="1669"/>
      <c r="B109" s="1764" t="s">
        <v>336</v>
      </c>
      <c r="C109" s="1819">
        <v>2017</v>
      </c>
      <c r="D109" s="1820">
        <v>0</v>
      </c>
      <c r="E109" s="1727">
        <v>0</v>
      </c>
      <c r="F109" s="1821">
        <v>0</v>
      </c>
      <c r="G109" s="1821">
        <v>0</v>
      </c>
      <c r="H109" s="1730">
        <v>0</v>
      </c>
      <c r="I109" s="1828">
        <v>0</v>
      </c>
      <c r="J109" s="1825">
        <v>0</v>
      </c>
      <c r="K109" s="1825"/>
      <c r="L109" s="1829"/>
      <c r="M109" s="1825">
        <v>0</v>
      </c>
      <c r="N109" s="1829"/>
      <c r="O109" s="1825">
        <v>0</v>
      </c>
      <c r="P109" s="1825">
        <v>0</v>
      </c>
    </row>
    <row r="110" spans="1:16">
      <c r="A110" s="1669"/>
      <c r="B110" s="1764" t="s">
        <v>336</v>
      </c>
      <c r="C110" s="1819">
        <v>2018</v>
      </c>
      <c r="D110" s="1820">
        <v>0</v>
      </c>
      <c r="E110" s="1727">
        <v>0</v>
      </c>
      <c r="F110" s="1821">
        <v>0</v>
      </c>
      <c r="G110" s="1821">
        <v>0</v>
      </c>
      <c r="H110" s="1730">
        <v>0</v>
      </c>
      <c r="I110" s="1828">
        <v>0</v>
      </c>
      <c r="J110" s="1825">
        <v>0</v>
      </c>
      <c r="K110" s="1825"/>
      <c r="L110" s="1829"/>
      <c r="M110" s="1825">
        <v>0</v>
      </c>
      <c r="N110" s="1829"/>
      <c r="O110" s="1825">
        <v>0</v>
      </c>
      <c r="P110" s="1825">
        <v>0</v>
      </c>
    </row>
    <row r="111" spans="1:16">
      <c r="A111" s="1669"/>
      <c r="B111" s="1764" t="s">
        <v>336</v>
      </c>
      <c r="C111" s="1819">
        <v>2019</v>
      </c>
      <c r="D111" s="1820">
        <v>0</v>
      </c>
      <c r="E111" s="1727">
        <v>0</v>
      </c>
      <c r="F111" s="1821">
        <v>0</v>
      </c>
      <c r="G111" s="1821">
        <v>0</v>
      </c>
      <c r="H111" s="1730">
        <v>0</v>
      </c>
      <c r="I111" s="1828">
        <v>0</v>
      </c>
      <c r="J111" s="1825">
        <v>0</v>
      </c>
      <c r="K111" s="1825"/>
      <c r="L111" s="1829"/>
      <c r="M111" s="1825">
        <v>0</v>
      </c>
      <c r="N111" s="1829"/>
      <c r="O111" s="1825">
        <v>0</v>
      </c>
      <c r="P111" s="1825">
        <v>0</v>
      </c>
    </row>
    <row r="112" spans="1:16">
      <c r="A112" s="1669"/>
      <c r="B112" s="1764" t="s">
        <v>336</v>
      </c>
      <c r="C112" s="1819">
        <v>2020</v>
      </c>
      <c r="D112" s="1820">
        <v>0</v>
      </c>
      <c r="E112" s="1727">
        <v>0</v>
      </c>
      <c r="F112" s="1821">
        <v>0</v>
      </c>
      <c r="G112" s="1821">
        <v>0</v>
      </c>
      <c r="H112" s="1730">
        <v>0</v>
      </c>
      <c r="I112" s="1828">
        <v>0</v>
      </c>
      <c r="J112" s="1825">
        <v>0</v>
      </c>
      <c r="K112" s="1825"/>
      <c r="L112" s="1829"/>
      <c r="M112" s="1825">
        <v>0</v>
      </c>
      <c r="N112" s="1829"/>
      <c r="O112" s="1825">
        <v>0</v>
      </c>
      <c r="P112" s="1825">
        <v>0</v>
      </c>
    </row>
    <row r="113" spans="1:16">
      <c r="A113" s="1669"/>
      <c r="B113" s="1764" t="s">
        <v>336</v>
      </c>
      <c r="C113" s="1819">
        <v>2021</v>
      </c>
      <c r="D113" s="1820">
        <v>0</v>
      </c>
      <c r="E113" s="1727">
        <v>0</v>
      </c>
      <c r="F113" s="1821">
        <v>0</v>
      </c>
      <c r="G113" s="1821">
        <v>0</v>
      </c>
      <c r="H113" s="1730">
        <v>0</v>
      </c>
      <c r="I113" s="1828">
        <v>0</v>
      </c>
      <c r="J113" s="1825">
        <v>0</v>
      </c>
      <c r="K113" s="1825"/>
      <c r="L113" s="1829"/>
      <c r="M113" s="1825">
        <v>0</v>
      </c>
      <c r="N113" s="1829"/>
      <c r="O113" s="1825">
        <v>0</v>
      </c>
      <c r="P113" s="1825">
        <v>0</v>
      </c>
    </row>
    <row r="114" spans="1:16">
      <c r="A114" s="1669"/>
      <c r="B114" s="1764" t="s">
        <v>336</v>
      </c>
      <c r="C114" s="1819">
        <v>2022</v>
      </c>
      <c r="D114" s="1820">
        <v>0</v>
      </c>
      <c r="E114" s="1727">
        <v>0</v>
      </c>
      <c r="F114" s="1821">
        <v>0</v>
      </c>
      <c r="G114" s="1821">
        <v>0</v>
      </c>
      <c r="H114" s="1730">
        <v>0</v>
      </c>
      <c r="I114" s="1828">
        <v>0</v>
      </c>
      <c r="J114" s="1825">
        <v>0</v>
      </c>
      <c r="K114" s="1825"/>
      <c r="L114" s="1829"/>
      <c r="M114" s="1825">
        <v>0</v>
      </c>
      <c r="N114" s="1829"/>
      <c r="O114" s="1825">
        <v>0</v>
      </c>
      <c r="P114" s="1825">
        <v>0</v>
      </c>
    </row>
    <row r="115" spans="1:16">
      <c r="A115" s="1669"/>
      <c r="B115" s="1764" t="s">
        <v>336</v>
      </c>
      <c r="C115" s="1819">
        <v>2023</v>
      </c>
      <c r="D115" s="1820">
        <v>0</v>
      </c>
      <c r="E115" s="1727">
        <v>0</v>
      </c>
      <c r="F115" s="1821">
        <v>0</v>
      </c>
      <c r="G115" s="1821">
        <v>0</v>
      </c>
      <c r="H115" s="1730">
        <v>0</v>
      </c>
      <c r="I115" s="1828">
        <v>0</v>
      </c>
      <c r="J115" s="1825">
        <v>0</v>
      </c>
      <c r="K115" s="1825"/>
      <c r="L115" s="1829"/>
      <c r="M115" s="1825">
        <v>0</v>
      </c>
      <c r="N115" s="1829"/>
      <c r="O115" s="1825">
        <v>0</v>
      </c>
      <c r="P115" s="1825">
        <v>0</v>
      </c>
    </row>
    <row r="116" spans="1:16">
      <c r="A116" s="1669"/>
      <c r="B116" s="1764" t="s">
        <v>336</v>
      </c>
      <c r="C116" s="1819">
        <v>2024</v>
      </c>
      <c r="D116" s="1820">
        <v>0</v>
      </c>
      <c r="E116" s="1727">
        <v>0</v>
      </c>
      <c r="F116" s="1821">
        <v>0</v>
      </c>
      <c r="G116" s="1821">
        <v>0</v>
      </c>
      <c r="H116" s="1730">
        <v>0</v>
      </c>
      <c r="I116" s="1828">
        <v>0</v>
      </c>
      <c r="J116" s="1825">
        <v>0</v>
      </c>
      <c r="K116" s="1825"/>
      <c r="L116" s="1829"/>
      <c r="M116" s="1825">
        <v>0</v>
      </c>
      <c r="N116" s="1829"/>
      <c r="O116" s="1825">
        <v>0</v>
      </c>
      <c r="P116" s="1825">
        <v>0</v>
      </c>
    </row>
    <row r="117" spans="1:16">
      <c r="A117" s="1669"/>
      <c r="B117" s="1764" t="s">
        <v>336</v>
      </c>
      <c r="C117" s="1819">
        <v>2025</v>
      </c>
      <c r="D117" s="1820">
        <v>0</v>
      </c>
      <c r="E117" s="1727">
        <v>0</v>
      </c>
      <c r="F117" s="1821">
        <v>0</v>
      </c>
      <c r="G117" s="1821">
        <v>0</v>
      </c>
      <c r="H117" s="1730">
        <v>0</v>
      </c>
      <c r="I117" s="1828">
        <v>0</v>
      </c>
      <c r="J117" s="1825">
        <v>0</v>
      </c>
      <c r="K117" s="1825"/>
      <c r="L117" s="1829"/>
      <c r="M117" s="1825">
        <v>0</v>
      </c>
      <c r="N117" s="1829"/>
      <c r="O117" s="1825">
        <v>0</v>
      </c>
      <c r="P117" s="1825">
        <v>0</v>
      </c>
    </row>
    <row r="118" spans="1:16">
      <c r="A118" s="1669"/>
      <c r="B118" s="1764" t="s">
        <v>336</v>
      </c>
      <c r="C118" s="1819">
        <v>2026</v>
      </c>
      <c r="D118" s="1820">
        <v>0</v>
      </c>
      <c r="E118" s="1727">
        <v>0</v>
      </c>
      <c r="F118" s="1821">
        <v>0</v>
      </c>
      <c r="G118" s="1821">
        <v>0</v>
      </c>
      <c r="H118" s="1730">
        <v>0</v>
      </c>
      <c r="I118" s="1828">
        <v>0</v>
      </c>
      <c r="J118" s="1825">
        <v>0</v>
      </c>
      <c r="K118" s="1825"/>
      <c r="L118" s="1829"/>
      <c r="M118" s="1825">
        <v>0</v>
      </c>
      <c r="N118" s="1829"/>
      <c r="O118" s="1825">
        <v>0</v>
      </c>
      <c r="P118" s="1825">
        <v>0</v>
      </c>
    </row>
    <row r="119" spans="1:16">
      <c r="B119" s="1764" t="s">
        <v>336</v>
      </c>
      <c r="C119" s="1819">
        <v>2027</v>
      </c>
      <c r="D119" s="1820">
        <v>0</v>
      </c>
      <c r="E119" s="1727">
        <v>0</v>
      </c>
      <c r="F119" s="1821">
        <v>0</v>
      </c>
      <c r="G119" s="1821">
        <v>0</v>
      </c>
      <c r="H119" s="1730">
        <v>0</v>
      </c>
      <c r="I119" s="1828">
        <v>0</v>
      </c>
      <c r="J119" s="1825">
        <v>0</v>
      </c>
      <c r="K119" s="1825"/>
      <c r="L119" s="1829"/>
      <c r="M119" s="1825">
        <v>0</v>
      </c>
      <c r="N119" s="1829"/>
      <c r="O119" s="1825">
        <v>0</v>
      </c>
      <c r="P119" s="1825">
        <v>0</v>
      </c>
    </row>
    <row r="120" spans="1:16">
      <c r="B120" s="1764" t="s">
        <v>336</v>
      </c>
      <c r="C120" s="1819">
        <v>2028</v>
      </c>
      <c r="D120" s="1820">
        <v>0</v>
      </c>
      <c r="E120" s="1727">
        <v>0</v>
      </c>
      <c r="F120" s="1821">
        <v>0</v>
      </c>
      <c r="G120" s="1821">
        <v>0</v>
      </c>
      <c r="H120" s="1730">
        <v>0</v>
      </c>
      <c r="I120" s="1828">
        <v>0</v>
      </c>
      <c r="J120" s="1825">
        <v>0</v>
      </c>
      <c r="K120" s="1825"/>
      <c r="L120" s="1829"/>
      <c r="M120" s="1825">
        <v>0</v>
      </c>
      <c r="N120" s="1829"/>
      <c r="O120" s="1825">
        <v>0</v>
      </c>
      <c r="P120" s="1825">
        <v>0</v>
      </c>
    </row>
    <row r="121" spans="1:16">
      <c r="B121" s="1764" t="s">
        <v>336</v>
      </c>
      <c r="C121" s="1819">
        <v>2029</v>
      </c>
      <c r="D121" s="1820">
        <v>0</v>
      </c>
      <c r="E121" s="1727">
        <v>0</v>
      </c>
      <c r="F121" s="1821">
        <v>0</v>
      </c>
      <c r="G121" s="1821">
        <v>0</v>
      </c>
      <c r="H121" s="1730">
        <v>0</v>
      </c>
      <c r="I121" s="1828">
        <v>0</v>
      </c>
      <c r="J121" s="1825">
        <v>0</v>
      </c>
      <c r="K121" s="1825"/>
      <c r="L121" s="1829"/>
      <c r="M121" s="1825">
        <v>0</v>
      </c>
      <c r="N121" s="1829"/>
      <c r="O121" s="1825">
        <v>0</v>
      </c>
      <c r="P121" s="1825">
        <v>0</v>
      </c>
    </row>
    <row r="122" spans="1:16">
      <c r="B122" s="1764" t="s">
        <v>336</v>
      </c>
      <c r="C122" s="1819">
        <v>2030</v>
      </c>
      <c r="D122" s="1820">
        <v>0</v>
      </c>
      <c r="E122" s="1727">
        <v>0</v>
      </c>
      <c r="F122" s="1821">
        <v>0</v>
      </c>
      <c r="G122" s="1821">
        <v>0</v>
      </c>
      <c r="H122" s="1730">
        <v>0</v>
      </c>
      <c r="I122" s="1828">
        <v>0</v>
      </c>
      <c r="J122" s="1825">
        <v>0</v>
      </c>
      <c r="K122" s="1825"/>
      <c r="L122" s="1829"/>
      <c r="M122" s="1825">
        <v>0</v>
      </c>
      <c r="N122" s="1829"/>
      <c r="O122" s="1825">
        <v>0</v>
      </c>
      <c r="P122" s="1825">
        <v>0</v>
      </c>
    </row>
    <row r="123" spans="1:16">
      <c r="B123" s="1764" t="s">
        <v>336</v>
      </c>
      <c r="C123" s="1819">
        <v>2031</v>
      </c>
      <c r="D123" s="1820">
        <v>0</v>
      </c>
      <c r="E123" s="1727">
        <v>0</v>
      </c>
      <c r="F123" s="1821">
        <v>0</v>
      </c>
      <c r="G123" s="1821">
        <v>0</v>
      </c>
      <c r="H123" s="1730">
        <v>0</v>
      </c>
      <c r="I123" s="1828">
        <v>0</v>
      </c>
      <c r="J123" s="1825">
        <v>0</v>
      </c>
      <c r="K123" s="1825"/>
      <c r="L123" s="1829"/>
      <c r="M123" s="1825">
        <v>0</v>
      </c>
      <c r="N123" s="1829"/>
      <c r="O123" s="1825">
        <v>0</v>
      </c>
      <c r="P123" s="1825">
        <v>0</v>
      </c>
    </row>
    <row r="124" spans="1:16">
      <c r="B124" s="1764" t="s">
        <v>336</v>
      </c>
      <c r="C124" s="1819">
        <v>2032</v>
      </c>
      <c r="D124" s="1820">
        <v>0</v>
      </c>
      <c r="E124" s="1727">
        <v>0</v>
      </c>
      <c r="F124" s="1821">
        <v>0</v>
      </c>
      <c r="G124" s="1821">
        <v>0</v>
      </c>
      <c r="H124" s="1730">
        <v>0</v>
      </c>
      <c r="I124" s="1828">
        <v>0</v>
      </c>
      <c r="J124" s="1825">
        <v>0</v>
      </c>
      <c r="K124" s="1825"/>
      <c r="L124" s="1829"/>
      <c r="M124" s="1825">
        <v>0</v>
      </c>
      <c r="N124" s="1829"/>
      <c r="O124" s="1825">
        <v>0</v>
      </c>
      <c r="P124" s="1825">
        <v>0</v>
      </c>
    </row>
    <row r="125" spans="1:16">
      <c r="B125" s="1764" t="s">
        <v>336</v>
      </c>
      <c r="C125" s="1819">
        <v>2033</v>
      </c>
      <c r="D125" s="1820">
        <v>0</v>
      </c>
      <c r="E125" s="1727">
        <v>0</v>
      </c>
      <c r="F125" s="1821">
        <v>0</v>
      </c>
      <c r="G125" s="1821">
        <v>0</v>
      </c>
      <c r="H125" s="1730">
        <v>0</v>
      </c>
      <c r="I125" s="1828">
        <v>0</v>
      </c>
      <c r="J125" s="1825">
        <v>0</v>
      </c>
      <c r="K125" s="1825"/>
      <c r="L125" s="1829"/>
      <c r="M125" s="1825">
        <v>0</v>
      </c>
      <c r="N125" s="1829"/>
      <c r="O125" s="1825">
        <v>0</v>
      </c>
      <c r="P125" s="1825">
        <v>0</v>
      </c>
    </row>
    <row r="126" spans="1:16">
      <c r="B126" s="1764" t="s">
        <v>336</v>
      </c>
      <c r="C126" s="1819">
        <v>2034</v>
      </c>
      <c r="D126" s="1820">
        <v>0</v>
      </c>
      <c r="E126" s="1727">
        <v>0</v>
      </c>
      <c r="F126" s="1821">
        <v>0</v>
      </c>
      <c r="G126" s="1821">
        <v>0</v>
      </c>
      <c r="H126" s="1730">
        <v>0</v>
      </c>
      <c r="I126" s="1828">
        <v>0</v>
      </c>
      <c r="J126" s="1825">
        <v>0</v>
      </c>
      <c r="K126" s="1825"/>
      <c r="L126" s="1829"/>
      <c r="M126" s="1825">
        <v>0</v>
      </c>
      <c r="N126" s="1829"/>
      <c r="O126" s="1825">
        <v>0</v>
      </c>
      <c r="P126" s="1825">
        <v>0</v>
      </c>
    </row>
    <row r="127" spans="1:16">
      <c r="B127" s="1764" t="s">
        <v>336</v>
      </c>
      <c r="C127" s="1819">
        <v>2035</v>
      </c>
      <c r="D127" s="1820">
        <v>0</v>
      </c>
      <c r="E127" s="1727">
        <v>0</v>
      </c>
      <c r="F127" s="1821">
        <v>0</v>
      </c>
      <c r="G127" s="1821">
        <v>0</v>
      </c>
      <c r="H127" s="1730">
        <v>0</v>
      </c>
      <c r="I127" s="1828">
        <v>0</v>
      </c>
      <c r="J127" s="1825">
        <v>0</v>
      </c>
      <c r="K127" s="1825"/>
      <c r="L127" s="1829"/>
      <c r="M127" s="1825">
        <v>0</v>
      </c>
      <c r="N127" s="1829"/>
      <c r="O127" s="1825">
        <v>0</v>
      </c>
      <c r="P127" s="1825">
        <v>0</v>
      </c>
    </row>
    <row r="128" spans="1:16">
      <c r="B128" s="1764" t="s">
        <v>336</v>
      </c>
      <c r="C128" s="1819">
        <v>2036</v>
      </c>
      <c r="D128" s="1820">
        <v>0</v>
      </c>
      <c r="E128" s="1727">
        <v>0</v>
      </c>
      <c r="F128" s="1821">
        <v>0</v>
      </c>
      <c r="G128" s="1821">
        <v>0</v>
      </c>
      <c r="H128" s="1730">
        <v>0</v>
      </c>
      <c r="I128" s="1828">
        <v>0</v>
      </c>
      <c r="J128" s="1825">
        <v>0</v>
      </c>
      <c r="K128" s="1825"/>
      <c r="L128" s="1829"/>
      <c r="M128" s="1825">
        <v>0</v>
      </c>
      <c r="N128" s="1829"/>
      <c r="O128" s="1825">
        <v>0</v>
      </c>
      <c r="P128" s="1825">
        <v>0</v>
      </c>
    </row>
    <row r="129" spans="2:18">
      <c r="B129" s="1764" t="s">
        <v>336</v>
      </c>
      <c r="C129" s="1819">
        <v>2037</v>
      </c>
      <c r="D129" s="1820">
        <v>0</v>
      </c>
      <c r="E129" s="1727">
        <v>0</v>
      </c>
      <c r="F129" s="1821">
        <v>0</v>
      </c>
      <c r="G129" s="1821">
        <v>0</v>
      </c>
      <c r="H129" s="1730">
        <v>0</v>
      </c>
      <c r="I129" s="1828">
        <v>0</v>
      </c>
      <c r="J129" s="1825">
        <v>0</v>
      </c>
      <c r="K129" s="1825"/>
      <c r="L129" s="1829"/>
      <c r="M129" s="1825">
        <v>0</v>
      </c>
      <c r="N129" s="1829"/>
      <c r="O129" s="1825">
        <v>0</v>
      </c>
      <c r="P129" s="1825">
        <v>0</v>
      </c>
    </row>
    <row r="130" spans="2:18">
      <c r="B130" s="1764" t="s">
        <v>336</v>
      </c>
      <c r="C130" s="1819">
        <v>2038</v>
      </c>
      <c r="D130" s="1820">
        <v>0</v>
      </c>
      <c r="E130" s="1727">
        <v>0</v>
      </c>
      <c r="F130" s="1821">
        <v>0</v>
      </c>
      <c r="G130" s="1821">
        <v>0</v>
      </c>
      <c r="H130" s="1730">
        <v>0</v>
      </c>
      <c r="I130" s="1828">
        <v>0</v>
      </c>
      <c r="J130" s="1825">
        <v>0</v>
      </c>
      <c r="K130" s="1825"/>
      <c r="L130" s="1829"/>
      <c r="M130" s="1825">
        <v>0</v>
      </c>
      <c r="N130" s="1829"/>
      <c r="O130" s="1825">
        <v>0</v>
      </c>
      <c r="P130" s="1825">
        <v>0</v>
      </c>
    </row>
    <row r="131" spans="2:18">
      <c r="B131" s="1764" t="s">
        <v>336</v>
      </c>
      <c r="C131" s="1819">
        <v>2039</v>
      </c>
      <c r="D131" s="1820">
        <v>0</v>
      </c>
      <c r="E131" s="1727">
        <v>0</v>
      </c>
      <c r="F131" s="1821">
        <v>0</v>
      </c>
      <c r="G131" s="1821">
        <v>0</v>
      </c>
      <c r="H131" s="1730">
        <v>0</v>
      </c>
      <c r="I131" s="1828">
        <v>0</v>
      </c>
      <c r="J131" s="1825">
        <v>0</v>
      </c>
      <c r="K131" s="1825"/>
      <c r="L131" s="1829"/>
      <c r="M131" s="1825">
        <v>0</v>
      </c>
      <c r="N131" s="1829"/>
      <c r="O131" s="1825">
        <v>0</v>
      </c>
      <c r="P131" s="1825">
        <v>0</v>
      </c>
    </row>
    <row r="132" spans="2:18">
      <c r="B132" s="1764" t="s">
        <v>336</v>
      </c>
      <c r="C132" s="1819">
        <v>2040</v>
      </c>
      <c r="D132" s="1820">
        <v>0</v>
      </c>
      <c r="E132" s="1727">
        <v>0</v>
      </c>
      <c r="F132" s="1821">
        <v>0</v>
      </c>
      <c r="G132" s="1821">
        <v>0</v>
      </c>
      <c r="H132" s="1730">
        <v>0</v>
      </c>
      <c r="I132" s="1828">
        <v>0</v>
      </c>
      <c r="J132" s="1825">
        <v>0</v>
      </c>
      <c r="K132" s="1825"/>
      <c r="L132" s="1829"/>
      <c r="M132" s="1825">
        <v>0</v>
      </c>
      <c r="N132" s="1829"/>
      <c r="O132" s="1825">
        <v>0</v>
      </c>
      <c r="P132" s="1825">
        <v>0</v>
      </c>
      <c r="R132" s="1754"/>
    </row>
    <row r="133" spans="2:18">
      <c r="B133" s="1764" t="s">
        <v>336</v>
      </c>
      <c r="C133" s="1819">
        <v>2041</v>
      </c>
      <c r="D133" s="1820">
        <v>0</v>
      </c>
      <c r="E133" s="1727">
        <v>0</v>
      </c>
      <c r="F133" s="1821">
        <v>0</v>
      </c>
      <c r="G133" s="1821">
        <v>0</v>
      </c>
      <c r="H133" s="1730">
        <v>0</v>
      </c>
      <c r="I133" s="1828">
        <v>0</v>
      </c>
      <c r="J133" s="1825">
        <v>0</v>
      </c>
      <c r="K133" s="1825"/>
      <c r="L133" s="1829"/>
      <c r="M133" s="1825">
        <v>0</v>
      </c>
      <c r="N133" s="1829"/>
      <c r="O133" s="1825">
        <v>0</v>
      </c>
      <c r="P133" s="1825">
        <v>0</v>
      </c>
      <c r="R133" s="279"/>
    </row>
    <row r="134" spans="2:18">
      <c r="B134" s="1764" t="s">
        <v>336</v>
      </c>
      <c r="C134" s="1819">
        <v>2042</v>
      </c>
      <c r="D134" s="1820">
        <v>0</v>
      </c>
      <c r="E134" s="1727">
        <v>0</v>
      </c>
      <c r="F134" s="1821">
        <v>0</v>
      </c>
      <c r="G134" s="1821">
        <v>0</v>
      </c>
      <c r="H134" s="1730">
        <v>0</v>
      </c>
      <c r="I134" s="1828">
        <v>0</v>
      </c>
      <c r="J134" s="1825">
        <v>0</v>
      </c>
      <c r="K134" s="1825"/>
      <c r="L134" s="1829"/>
      <c r="M134" s="1825">
        <v>0</v>
      </c>
      <c r="N134" s="1829"/>
      <c r="O134" s="1825">
        <v>0</v>
      </c>
      <c r="P134" s="1825">
        <v>0</v>
      </c>
      <c r="R134" s="279"/>
    </row>
    <row r="135" spans="2:18">
      <c r="B135" s="1764" t="s">
        <v>336</v>
      </c>
      <c r="C135" s="1819">
        <v>2043</v>
      </c>
      <c r="D135" s="1820">
        <v>0</v>
      </c>
      <c r="E135" s="1727">
        <v>0</v>
      </c>
      <c r="F135" s="1821">
        <v>0</v>
      </c>
      <c r="G135" s="1821">
        <v>0</v>
      </c>
      <c r="H135" s="1730">
        <v>0</v>
      </c>
      <c r="I135" s="1828">
        <v>0</v>
      </c>
      <c r="J135" s="1825">
        <v>0</v>
      </c>
      <c r="K135" s="1825"/>
      <c r="L135" s="1829"/>
      <c r="M135" s="1825">
        <v>0</v>
      </c>
      <c r="N135" s="1829"/>
      <c r="O135" s="1825">
        <v>0</v>
      </c>
      <c r="P135" s="1825">
        <v>0</v>
      </c>
      <c r="R135" s="279"/>
    </row>
    <row r="136" spans="2:18">
      <c r="B136" s="1764" t="s">
        <v>336</v>
      </c>
      <c r="C136" s="1819">
        <v>2044</v>
      </c>
      <c r="D136" s="1820">
        <v>0</v>
      </c>
      <c r="E136" s="1727">
        <v>0</v>
      </c>
      <c r="F136" s="1821">
        <v>0</v>
      </c>
      <c r="G136" s="1821">
        <v>0</v>
      </c>
      <c r="H136" s="1730">
        <v>0</v>
      </c>
      <c r="I136" s="1828">
        <v>0</v>
      </c>
      <c r="J136" s="1825">
        <v>0</v>
      </c>
      <c r="K136" s="1825"/>
      <c r="L136" s="1829"/>
      <c r="M136" s="1825">
        <v>0</v>
      </c>
      <c r="N136" s="1829"/>
      <c r="O136" s="1825">
        <v>0</v>
      </c>
      <c r="P136" s="1825">
        <v>0</v>
      </c>
      <c r="R136" s="279"/>
    </row>
    <row r="137" spans="2:18">
      <c r="B137" s="1764" t="s">
        <v>336</v>
      </c>
      <c r="C137" s="1819">
        <v>2045</v>
      </c>
      <c r="D137" s="1820">
        <v>0</v>
      </c>
      <c r="E137" s="1727">
        <v>0</v>
      </c>
      <c r="F137" s="1821">
        <v>0</v>
      </c>
      <c r="G137" s="1821">
        <v>0</v>
      </c>
      <c r="H137" s="1730">
        <v>0</v>
      </c>
      <c r="I137" s="1828">
        <v>0</v>
      </c>
      <c r="J137" s="1825">
        <v>0</v>
      </c>
      <c r="K137" s="1825"/>
      <c r="L137" s="1829"/>
      <c r="M137" s="1825">
        <v>0</v>
      </c>
      <c r="N137" s="1829"/>
      <c r="O137" s="1825">
        <v>0</v>
      </c>
      <c r="P137" s="1825">
        <v>0</v>
      </c>
      <c r="R137" s="279"/>
    </row>
    <row r="138" spans="2:18">
      <c r="B138" s="1764" t="s">
        <v>336</v>
      </c>
      <c r="C138" s="1819">
        <v>2046</v>
      </c>
      <c r="D138" s="1820">
        <v>0</v>
      </c>
      <c r="E138" s="1727">
        <v>0</v>
      </c>
      <c r="F138" s="1821">
        <v>0</v>
      </c>
      <c r="G138" s="1821">
        <v>0</v>
      </c>
      <c r="H138" s="1730">
        <v>0</v>
      </c>
      <c r="I138" s="1828">
        <v>0</v>
      </c>
      <c r="J138" s="1825">
        <v>0</v>
      </c>
      <c r="K138" s="1825"/>
      <c r="L138" s="1829"/>
      <c r="M138" s="1825">
        <v>0</v>
      </c>
      <c r="N138" s="1829"/>
      <c r="O138" s="1825">
        <v>0</v>
      </c>
      <c r="P138" s="1825">
        <v>0</v>
      </c>
      <c r="R138" s="279"/>
    </row>
    <row r="139" spans="2:18">
      <c r="B139" s="1764" t="s">
        <v>336</v>
      </c>
      <c r="C139" s="1819">
        <v>2047</v>
      </c>
      <c r="D139" s="1820">
        <v>0</v>
      </c>
      <c r="E139" s="1727">
        <v>0</v>
      </c>
      <c r="F139" s="1821">
        <v>0</v>
      </c>
      <c r="G139" s="1821">
        <v>0</v>
      </c>
      <c r="H139" s="1730">
        <v>0</v>
      </c>
      <c r="I139" s="1828">
        <v>0</v>
      </c>
      <c r="J139" s="1825">
        <v>0</v>
      </c>
      <c r="K139" s="1825"/>
      <c r="L139" s="1829"/>
      <c r="M139" s="1825">
        <v>0</v>
      </c>
      <c r="N139" s="1829"/>
      <c r="O139" s="1825">
        <v>0</v>
      </c>
      <c r="P139" s="1825">
        <v>0</v>
      </c>
      <c r="R139" s="279"/>
    </row>
    <row r="140" spans="2:18">
      <c r="B140" s="1764" t="s">
        <v>336</v>
      </c>
      <c r="C140" s="1819">
        <v>2048</v>
      </c>
      <c r="D140" s="1820">
        <v>0</v>
      </c>
      <c r="E140" s="1727">
        <v>0</v>
      </c>
      <c r="F140" s="1821">
        <v>0</v>
      </c>
      <c r="G140" s="1821">
        <v>0</v>
      </c>
      <c r="H140" s="1730">
        <v>0</v>
      </c>
      <c r="I140" s="1828">
        <v>0</v>
      </c>
      <c r="J140" s="1825">
        <v>0</v>
      </c>
      <c r="K140" s="1825"/>
      <c r="L140" s="1829"/>
      <c r="M140" s="1825">
        <v>0</v>
      </c>
      <c r="N140" s="1829"/>
      <c r="O140" s="1825">
        <v>0</v>
      </c>
      <c r="P140" s="1825">
        <v>0</v>
      </c>
      <c r="R140" s="279"/>
    </row>
    <row r="141" spans="2:18">
      <c r="B141" s="1764" t="s">
        <v>336</v>
      </c>
      <c r="C141" s="1819">
        <v>2049</v>
      </c>
      <c r="D141" s="1820">
        <v>0</v>
      </c>
      <c r="E141" s="1727">
        <v>0</v>
      </c>
      <c r="F141" s="1821">
        <v>0</v>
      </c>
      <c r="G141" s="1821">
        <v>0</v>
      </c>
      <c r="H141" s="1730">
        <v>0</v>
      </c>
      <c r="I141" s="1828">
        <v>0</v>
      </c>
      <c r="J141" s="1825">
        <v>0</v>
      </c>
      <c r="K141" s="1825"/>
      <c r="L141" s="1829"/>
      <c r="M141" s="1825">
        <v>0</v>
      </c>
      <c r="N141" s="1829"/>
      <c r="O141" s="1825">
        <v>0</v>
      </c>
      <c r="P141" s="1825">
        <v>0</v>
      </c>
      <c r="R141" s="279"/>
    </row>
    <row r="142" spans="2:18">
      <c r="B142" s="1764" t="s">
        <v>336</v>
      </c>
      <c r="C142" s="1819">
        <v>2050</v>
      </c>
      <c r="D142" s="1820">
        <v>0</v>
      </c>
      <c r="E142" s="1727">
        <v>0</v>
      </c>
      <c r="F142" s="1821">
        <v>0</v>
      </c>
      <c r="G142" s="1821">
        <v>0</v>
      </c>
      <c r="H142" s="1730">
        <v>0</v>
      </c>
      <c r="I142" s="1828">
        <v>0</v>
      </c>
      <c r="J142" s="1825">
        <v>0</v>
      </c>
      <c r="K142" s="1825"/>
      <c r="L142" s="1829"/>
      <c r="M142" s="1825">
        <v>0</v>
      </c>
      <c r="N142" s="1829"/>
      <c r="O142" s="1825">
        <v>0</v>
      </c>
      <c r="P142" s="1825">
        <v>0</v>
      </c>
      <c r="R142" s="279"/>
    </row>
    <row r="143" spans="2:18">
      <c r="B143" s="1764" t="s">
        <v>336</v>
      </c>
      <c r="C143" s="1819">
        <v>2051</v>
      </c>
      <c r="D143" s="1820">
        <v>0</v>
      </c>
      <c r="E143" s="1727">
        <v>0</v>
      </c>
      <c r="F143" s="1821">
        <v>0</v>
      </c>
      <c r="G143" s="1821">
        <v>0</v>
      </c>
      <c r="H143" s="1730">
        <v>0</v>
      </c>
      <c r="I143" s="1828">
        <v>0</v>
      </c>
      <c r="J143" s="1825">
        <v>0</v>
      </c>
      <c r="K143" s="1825"/>
      <c r="L143" s="1829"/>
      <c r="M143" s="1825">
        <v>0</v>
      </c>
      <c r="N143" s="1829"/>
      <c r="O143" s="1825">
        <v>0</v>
      </c>
      <c r="P143" s="1825">
        <v>0</v>
      </c>
      <c r="R143" s="279"/>
    </row>
    <row r="144" spans="2:18">
      <c r="B144" s="1764" t="s">
        <v>336</v>
      </c>
      <c r="C144" s="1819">
        <v>2052</v>
      </c>
      <c r="D144" s="1820">
        <v>0</v>
      </c>
      <c r="E144" s="1727">
        <v>0</v>
      </c>
      <c r="F144" s="1821">
        <v>0</v>
      </c>
      <c r="G144" s="1821">
        <v>0</v>
      </c>
      <c r="H144" s="1730">
        <v>0</v>
      </c>
      <c r="I144" s="1828">
        <v>0</v>
      </c>
      <c r="J144" s="1825">
        <v>0</v>
      </c>
      <c r="K144" s="1825"/>
      <c r="L144" s="1829"/>
      <c r="M144" s="1825">
        <v>0</v>
      </c>
      <c r="N144" s="1829"/>
      <c r="O144" s="1825">
        <v>0</v>
      </c>
      <c r="P144" s="1825">
        <v>0</v>
      </c>
      <c r="R144" s="279"/>
    </row>
    <row r="145" spans="2:18">
      <c r="B145" s="1764" t="s">
        <v>336</v>
      </c>
      <c r="C145" s="1819">
        <v>2053</v>
      </c>
      <c r="D145" s="1820">
        <v>0</v>
      </c>
      <c r="E145" s="1727">
        <v>0</v>
      </c>
      <c r="F145" s="1821">
        <v>0</v>
      </c>
      <c r="G145" s="1821">
        <v>0</v>
      </c>
      <c r="H145" s="1730">
        <v>0</v>
      </c>
      <c r="I145" s="1828">
        <v>0</v>
      </c>
      <c r="J145" s="1825">
        <v>0</v>
      </c>
      <c r="K145" s="1825"/>
      <c r="L145" s="1829"/>
      <c r="M145" s="1825">
        <v>0</v>
      </c>
      <c r="N145" s="1829"/>
      <c r="O145" s="1825">
        <v>0</v>
      </c>
      <c r="P145" s="1825">
        <v>0</v>
      </c>
      <c r="R145" s="279"/>
    </row>
    <row r="146" spans="2:18">
      <c r="B146" s="1764" t="s">
        <v>336</v>
      </c>
      <c r="C146" s="1819">
        <v>2054</v>
      </c>
      <c r="D146" s="1820">
        <v>0</v>
      </c>
      <c r="E146" s="1727">
        <v>0</v>
      </c>
      <c r="F146" s="1821">
        <v>0</v>
      </c>
      <c r="G146" s="1821">
        <v>0</v>
      </c>
      <c r="H146" s="1730">
        <v>0</v>
      </c>
      <c r="I146" s="1828">
        <v>0</v>
      </c>
      <c r="J146" s="1825">
        <v>0</v>
      </c>
      <c r="K146" s="1825"/>
      <c r="L146" s="1829"/>
      <c r="M146" s="1825">
        <v>0</v>
      </c>
      <c r="N146" s="1829"/>
      <c r="O146" s="1825">
        <v>0</v>
      </c>
      <c r="P146" s="1825">
        <v>0</v>
      </c>
      <c r="R146" s="279"/>
    </row>
    <row r="147" spans="2:18">
      <c r="B147" s="1764" t="s">
        <v>336</v>
      </c>
      <c r="C147" s="1819">
        <v>2055</v>
      </c>
      <c r="D147" s="1820">
        <v>0</v>
      </c>
      <c r="E147" s="1727">
        <v>0</v>
      </c>
      <c r="F147" s="1821">
        <v>0</v>
      </c>
      <c r="G147" s="1821">
        <v>0</v>
      </c>
      <c r="H147" s="1730">
        <v>0</v>
      </c>
      <c r="I147" s="1828">
        <v>0</v>
      </c>
      <c r="J147" s="1825">
        <v>0</v>
      </c>
      <c r="K147" s="1825"/>
      <c r="L147" s="1829"/>
      <c r="M147" s="1825">
        <v>0</v>
      </c>
      <c r="N147" s="1829"/>
      <c r="O147" s="1825">
        <v>0</v>
      </c>
      <c r="P147" s="1825">
        <v>0</v>
      </c>
      <c r="R147" s="279"/>
    </row>
    <row r="148" spans="2:18">
      <c r="B148" s="1764" t="s">
        <v>336</v>
      </c>
      <c r="C148" s="1819">
        <v>2056</v>
      </c>
      <c r="D148" s="1820">
        <v>0</v>
      </c>
      <c r="E148" s="1727">
        <v>0</v>
      </c>
      <c r="F148" s="1821">
        <v>0</v>
      </c>
      <c r="G148" s="1821">
        <v>0</v>
      </c>
      <c r="H148" s="1730">
        <v>0</v>
      </c>
      <c r="I148" s="1828">
        <v>0</v>
      </c>
      <c r="J148" s="1825">
        <v>0</v>
      </c>
      <c r="K148" s="1825"/>
      <c r="L148" s="1829"/>
      <c r="M148" s="1825">
        <v>0</v>
      </c>
      <c r="N148" s="1829"/>
      <c r="O148" s="1825">
        <v>0</v>
      </c>
      <c r="P148" s="1825">
        <v>0</v>
      </c>
      <c r="R148" s="279"/>
    </row>
    <row r="149" spans="2:18">
      <c r="B149" s="1764" t="s">
        <v>336</v>
      </c>
      <c r="C149" s="1819">
        <v>2057</v>
      </c>
      <c r="D149" s="1820">
        <v>0</v>
      </c>
      <c r="E149" s="1727">
        <v>0</v>
      </c>
      <c r="F149" s="1821">
        <v>0</v>
      </c>
      <c r="G149" s="1821">
        <v>0</v>
      </c>
      <c r="H149" s="1730">
        <v>0</v>
      </c>
      <c r="I149" s="1828">
        <v>0</v>
      </c>
      <c r="J149" s="1825">
        <v>0</v>
      </c>
      <c r="K149" s="1825"/>
      <c r="L149" s="1829"/>
      <c r="M149" s="1825">
        <v>0</v>
      </c>
      <c r="N149" s="1829"/>
      <c r="O149" s="1825">
        <v>0</v>
      </c>
      <c r="P149" s="1825">
        <v>0</v>
      </c>
      <c r="R149" s="279"/>
    </row>
    <row r="150" spans="2:18">
      <c r="B150" s="1764" t="s">
        <v>336</v>
      </c>
      <c r="C150" s="1819">
        <v>2058</v>
      </c>
      <c r="D150" s="1820">
        <v>0</v>
      </c>
      <c r="E150" s="1727">
        <v>0</v>
      </c>
      <c r="F150" s="1821">
        <v>0</v>
      </c>
      <c r="G150" s="1821">
        <v>0</v>
      </c>
      <c r="H150" s="1730">
        <v>0</v>
      </c>
      <c r="I150" s="1828">
        <v>0</v>
      </c>
      <c r="J150" s="1825">
        <v>0</v>
      </c>
      <c r="K150" s="1825"/>
      <c r="L150" s="1829"/>
      <c r="M150" s="1825">
        <v>0</v>
      </c>
      <c r="N150" s="1829"/>
      <c r="O150" s="1825">
        <v>0</v>
      </c>
      <c r="P150" s="1825">
        <v>0</v>
      </c>
      <c r="R150" s="279"/>
    </row>
    <row r="151" spans="2:18">
      <c r="B151" s="1764" t="s">
        <v>336</v>
      </c>
      <c r="C151" s="1819">
        <v>2059</v>
      </c>
      <c r="D151" s="1820">
        <v>0</v>
      </c>
      <c r="E151" s="1727">
        <v>0</v>
      </c>
      <c r="F151" s="1821">
        <v>0</v>
      </c>
      <c r="G151" s="1821">
        <v>0</v>
      </c>
      <c r="H151" s="1730">
        <v>0</v>
      </c>
      <c r="I151" s="1828">
        <v>0</v>
      </c>
      <c r="J151" s="1825">
        <v>0</v>
      </c>
      <c r="K151" s="1825"/>
      <c r="L151" s="1829"/>
      <c r="M151" s="1825">
        <v>0</v>
      </c>
      <c r="N151" s="1829"/>
      <c r="O151" s="1825">
        <v>0</v>
      </c>
      <c r="P151" s="1825">
        <v>0</v>
      </c>
      <c r="R151" s="279"/>
    </row>
    <row r="152" spans="2:18">
      <c r="B152" s="1764" t="s">
        <v>336</v>
      </c>
      <c r="C152" s="1819">
        <v>2060</v>
      </c>
      <c r="D152" s="1820">
        <v>0</v>
      </c>
      <c r="E152" s="1727">
        <v>0</v>
      </c>
      <c r="F152" s="1821">
        <v>0</v>
      </c>
      <c r="G152" s="1821">
        <v>0</v>
      </c>
      <c r="H152" s="1730">
        <v>0</v>
      </c>
      <c r="I152" s="1828">
        <v>0</v>
      </c>
      <c r="J152" s="1825">
        <v>0</v>
      </c>
      <c r="K152" s="1825"/>
      <c r="L152" s="1829"/>
      <c r="M152" s="1825">
        <v>0</v>
      </c>
      <c r="N152" s="1829"/>
      <c r="O152" s="1825">
        <v>0</v>
      </c>
      <c r="P152" s="1825">
        <v>0</v>
      </c>
      <c r="R152" s="279"/>
    </row>
    <row r="153" spans="2:18">
      <c r="B153" s="1764" t="s">
        <v>336</v>
      </c>
      <c r="C153" s="1819">
        <v>2061</v>
      </c>
      <c r="D153" s="1820">
        <v>0</v>
      </c>
      <c r="E153" s="1727">
        <v>0</v>
      </c>
      <c r="F153" s="1821">
        <v>0</v>
      </c>
      <c r="G153" s="1821">
        <v>0</v>
      </c>
      <c r="H153" s="1730">
        <v>0</v>
      </c>
      <c r="I153" s="1828">
        <v>0</v>
      </c>
      <c r="J153" s="1825">
        <v>0</v>
      </c>
      <c r="K153" s="1825"/>
      <c r="L153" s="1829"/>
      <c r="M153" s="1825">
        <v>0</v>
      </c>
      <c r="N153" s="1829"/>
      <c r="O153" s="1825">
        <v>0</v>
      </c>
      <c r="P153" s="1825">
        <v>0</v>
      </c>
      <c r="R153" s="279"/>
    </row>
    <row r="154" spans="2:18">
      <c r="B154" s="1764" t="s">
        <v>336</v>
      </c>
      <c r="C154" s="1819">
        <v>2062</v>
      </c>
      <c r="D154" s="1820">
        <v>0</v>
      </c>
      <c r="E154" s="1727">
        <v>0</v>
      </c>
      <c r="F154" s="1821">
        <v>0</v>
      </c>
      <c r="G154" s="1821">
        <v>0</v>
      </c>
      <c r="H154" s="1730">
        <v>0</v>
      </c>
      <c r="I154" s="1828">
        <v>0</v>
      </c>
      <c r="J154" s="1825">
        <v>0</v>
      </c>
      <c r="K154" s="1825"/>
      <c r="L154" s="1829"/>
      <c r="M154" s="1825">
        <v>0</v>
      </c>
      <c r="N154" s="1829"/>
      <c r="O154" s="1825">
        <v>0</v>
      </c>
      <c r="P154" s="1825">
        <v>0</v>
      </c>
      <c r="R154" s="279"/>
    </row>
    <row r="155" spans="2:18">
      <c r="B155" s="1764" t="s">
        <v>336</v>
      </c>
      <c r="C155" s="1819">
        <v>2063</v>
      </c>
      <c r="D155" s="1820">
        <v>0</v>
      </c>
      <c r="E155" s="1727">
        <v>0</v>
      </c>
      <c r="F155" s="1821">
        <v>0</v>
      </c>
      <c r="G155" s="1821">
        <v>0</v>
      </c>
      <c r="H155" s="1730">
        <v>0</v>
      </c>
      <c r="I155" s="1828">
        <v>0</v>
      </c>
      <c r="J155" s="1825">
        <v>0</v>
      </c>
      <c r="K155" s="1825"/>
      <c r="L155" s="1829"/>
      <c r="M155" s="1825">
        <v>0</v>
      </c>
      <c r="N155" s="1829"/>
      <c r="O155" s="1825">
        <v>0</v>
      </c>
      <c r="P155" s="1825">
        <v>0</v>
      </c>
      <c r="R155" s="279"/>
    </row>
    <row r="156" spans="2:18">
      <c r="B156" s="1764" t="s">
        <v>336</v>
      </c>
      <c r="C156" s="1819">
        <v>2064</v>
      </c>
      <c r="D156" s="1820">
        <v>0</v>
      </c>
      <c r="E156" s="1727">
        <v>0</v>
      </c>
      <c r="F156" s="1821">
        <v>0</v>
      </c>
      <c r="G156" s="1821">
        <v>0</v>
      </c>
      <c r="H156" s="1730">
        <v>0</v>
      </c>
      <c r="I156" s="1828">
        <v>0</v>
      </c>
      <c r="J156" s="1825">
        <v>0</v>
      </c>
      <c r="K156" s="1825"/>
      <c r="L156" s="1829"/>
      <c r="M156" s="1825">
        <v>0</v>
      </c>
      <c r="N156" s="1829"/>
      <c r="O156" s="1825">
        <v>0</v>
      </c>
      <c r="P156" s="1825">
        <v>0</v>
      </c>
      <c r="R156" s="279"/>
    </row>
    <row r="157" spans="2:18">
      <c r="B157" s="1764" t="s">
        <v>336</v>
      </c>
      <c r="C157" s="1819">
        <v>2065</v>
      </c>
      <c r="D157" s="1820">
        <v>0</v>
      </c>
      <c r="E157" s="1727">
        <v>0</v>
      </c>
      <c r="F157" s="1821">
        <v>0</v>
      </c>
      <c r="G157" s="1821">
        <v>0</v>
      </c>
      <c r="H157" s="1730">
        <v>0</v>
      </c>
      <c r="I157" s="1828">
        <v>0</v>
      </c>
      <c r="J157" s="1825">
        <v>0</v>
      </c>
      <c r="K157" s="1825"/>
      <c r="L157" s="1829"/>
      <c r="M157" s="1825">
        <v>0</v>
      </c>
      <c r="N157" s="1829"/>
      <c r="O157" s="1825">
        <v>0</v>
      </c>
      <c r="P157" s="1825">
        <v>0</v>
      </c>
      <c r="R157" s="279"/>
    </row>
    <row r="158" spans="2:18">
      <c r="B158" s="1764" t="s">
        <v>336</v>
      </c>
      <c r="C158" s="1819">
        <v>2066</v>
      </c>
      <c r="D158" s="1820">
        <v>0</v>
      </c>
      <c r="E158" s="1727">
        <v>0</v>
      </c>
      <c r="F158" s="1821">
        <v>0</v>
      </c>
      <c r="G158" s="1821">
        <v>0</v>
      </c>
      <c r="H158" s="1730">
        <v>0</v>
      </c>
      <c r="I158" s="1828">
        <v>0</v>
      </c>
      <c r="J158" s="1825">
        <v>0</v>
      </c>
      <c r="K158" s="1825"/>
      <c r="L158" s="1829"/>
      <c r="M158" s="1825">
        <v>0</v>
      </c>
      <c r="N158" s="1829"/>
      <c r="O158" s="1825">
        <v>0</v>
      </c>
      <c r="P158" s="1825">
        <v>0</v>
      </c>
      <c r="R158" s="279"/>
    </row>
    <row r="159" spans="2:18">
      <c r="B159" s="1764" t="s">
        <v>336</v>
      </c>
      <c r="C159" s="1819">
        <v>2067</v>
      </c>
      <c r="D159" s="1820">
        <v>0</v>
      </c>
      <c r="E159" s="1727">
        <v>0</v>
      </c>
      <c r="F159" s="1821">
        <v>0</v>
      </c>
      <c r="G159" s="1821">
        <v>0</v>
      </c>
      <c r="H159" s="1730">
        <v>0</v>
      </c>
      <c r="I159" s="1828">
        <v>0</v>
      </c>
      <c r="J159" s="1825">
        <v>0</v>
      </c>
      <c r="K159" s="1825"/>
      <c r="L159" s="1829"/>
      <c r="M159" s="1825">
        <v>0</v>
      </c>
      <c r="N159" s="1829"/>
      <c r="O159" s="1825">
        <v>0</v>
      </c>
      <c r="P159" s="1825">
        <v>0</v>
      </c>
      <c r="R159" s="279"/>
    </row>
    <row r="160" spans="2:18" ht="13" thickBot="1">
      <c r="B160" s="1764" t="s">
        <v>336</v>
      </c>
      <c r="C160" s="1830">
        <v>2068</v>
      </c>
      <c r="D160" s="1831">
        <v>0</v>
      </c>
      <c r="E160" s="1733">
        <v>0</v>
      </c>
      <c r="F160" s="1832">
        <v>0</v>
      </c>
      <c r="G160" s="1832">
        <v>0</v>
      </c>
      <c r="H160" s="1734">
        <v>0</v>
      </c>
      <c r="I160" s="1833">
        <v>0</v>
      </c>
      <c r="J160" s="1834">
        <v>0</v>
      </c>
      <c r="K160" s="1825"/>
      <c r="L160" s="1835"/>
      <c r="M160" s="1834">
        <v>0</v>
      </c>
      <c r="N160" s="1835"/>
      <c r="O160" s="1834">
        <v>0</v>
      </c>
      <c r="P160" s="1834">
        <v>0</v>
      </c>
      <c r="R160" s="279"/>
    </row>
    <row r="161" spans="2:18">
      <c r="B161" s="1669"/>
      <c r="C161" s="1820" t="s">
        <v>475</v>
      </c>
      <c r="D161" s="1686"/>
      <c r="E161" s="1686">
        <v>1035552</v>
      </c>
      <c r="F161" s="1686"/>
      <c r="G161" s="1686"/>
      <c r="H161" s="1686">
        <v>4670143.8157202108</v>
      </c>
      <c r="I161" s="1686">
        <v>4670143.8157202108</v>
      </c>
      <c r="J161" s="1686">
        <v>0</v>
      </c>
      <c r="K161" s="1686"/>
      <c r="L161" s="1686"/>
      <c r="M161" s="1686"/>
      <c r="N161" s="1686"/>
      <c r="O161" s="1686"/>
      <c r="P161" s="1669"/>
      <c r="R161" s="279"/>
    </row>
    <row r="162" spans="2:18">
      <c r="B162" s="1669"/>
      <c r="C162" s="1669" t="s">
        <v>637</v>
      </c>
      <c r="D162" s="1764"/>
      <c r="E162" s="1669"/>
      <c r="F162" s="1669"/>
      <c r="G162" s="1669"/>
      <c r="H162" s="1669"/>
      <c r="I162" s="1685"/>
      <c r="J162" s="1685"/>
      <c r="K162" s="1686"/>
      <c r="L162" s="1685"/>
      <c r="M162" s="1685"/>
      <c r="N162" s="1685"/>
      <c r="O162" s="1685"/>
      <c r="P162" s="1669"/>
      <c r="R162" s="279"/>
    </row>
    <row r="163" spans="2:18">
      <c r="B163" s="1669"/>
      <c r="C163" s="1669"/>
      <c r="D163" s="1764"/>
      <c r="E163" s="1669"/>
      <c r="F163" s="1669"/>
      <c r="G163" s="1669"/>
      <c r="H163" s="1669"/>
      <c r="I163" s="1685"/>
      <c r="J163" s="1685"/>
      <c r="K163" s="1686"/>
      <c r="L163" s="1685"/>
      <c r="M163" s="1685"/>
      <c r="N163" s="1685"/>
      <c r="O163" s="1685"/>
      <c r="P163" s="1669"/>
      <c r="R163" s="279"/>
    </row>
    <row r="164" spans="2:18" ht="13">
      <c r="B164" s="1669"/>
      <c r="C164" s="1836" t="s">
        <v>638</v>
      </c>
      <c r="D164" s="1764"/>
      <c r="E164" s="1669"/>
      <c r="F164" s="1669"/>
      <c r="G164" s="1669"/>
      <c r="H164" s="1669"/>
      <c r="I164" s="1685"/>
      <c r="J164" s="1685"/>
      <c r="K164" s="1686"/>
      <c r="L164" s="1685"/>
      <c r="M164" s="1685"/>
      <c r="N164" s="1685"/>
      <c r="O164" s="1685"/>
      <c r="P164" s="1669"/>
      <c r="R164" s="279"/>
    </row>
    <row r="165" spans="2:18" ht="13">
      <c r="B165" s="1669"/>
      <c r="C165" s="1785" t="s">
        <v>476</v>
      </c>
      <c r="D165" s="1820"/>
      <c r="E165" s="1820"/>
      <c r="F165" s="1820"/>
      <c r="G165" s="1820"/>
      <c r="H165" s="1686"/>
      <c r="I165" s="1686"/>
      <c r="J165" s="1837"/>
      <c r="K165" s="1837"/>
      <c r="L165" s="1837"/>
      <c r="M165" s="1837"/>
      <c r="N165" s="1837"/>
      <c r="O165" s="1837"/>
      <c r="P165" s="1669"/>
      <c r="R165" s="279"/>
    </row>
    <row r="166" spans="2:18" ht="13">
      <c r="B166" s="1669"/>
      <c r="C166" s="1785" t="s">
        <v>477</v>
      </c>
      <c r="D166" s="1820"/>
      <c r="E166" s="1820"/>
      <c r="F166" s="1820"/>
      <c r="G166" s="1820"/>
      <c r="H166" s="1686"/>
      <c r="I166" s="1686"/>
      <c r="J166" s="1837"/>
      <c r="K166" s="1837"/>
      <c r="L166" s="1837"/>
      <c r="M166" s="1837"/>
      <c r="N166" s="1837"/>
      <c r="O166" s="1837"/>
      <c r="P166" s="1669"/>
    </row>
  </sheetData>
  <mergeCells count="8">
    <mergeCell ref="L10:P10"/>
    <mergeCell ref="L14:P15"/>
    <mergeCell ref="A2:I2"/>
    <mergeCell ref="A3:I3"/>
    <mergeCell ref="A4:I4"/>
    <mergeCell ref="A5:I5"/>
    <mergeCell ref="C7:I7"/>
    <mergeCell ref="L7:P9"/>
  </mergeCells>
  <printOptions horizontalCentered="1"/>
  <pageMargins left="0.25" right="0.25" top="0.75" bottom="0.25" header="0.25" footer="0.5"/>
  <pageSetup scale="41" fitToHeight="5" orientation="landscape" horizontalDpi="1200" verticalDpi="1200" r:id="rId1"/>
  <headerFooter alignWithMargins="0">
    <oddHeader xml:space="preserve">&amp;R&amp;12AEP - SPP Transco Formula Rate
TCOS - WS G
Page: &amp;P of &amp;N&amp;16
</oddHeader>
    <oddFooter xml:space="preserve">&amp;C &amp;R </oddFooter>
  </headerFooter>
  <rowBreaks count="1" manualBreakCount="1">
    <brk id="86" max="15"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
  <sheetViews>
    <sheetView topLeftCell="A7" zoomScale="81" zoomScaleNormal="81" zoomScaleSheetLayoutView="75" zoomScalePageLayoutView="80" workbookViewId="0">
      <selection activeCell="M43" sqref="M43"/>
    </sheetView>
  </sheetViews>
  <sheetFormatPr defaultColWidth="9.1796875" defaultRowHeight="15.5"/>
  <cols>
    <col min="1" max="1" width="4.7265625" style="1043" customWidth="1"/>
    <col min="2" max="2" width="7.453125" style="1043" customWidth="1"/>
    <col min="3" max="6" width="12.7265625" style="1043" customWidth="1"/>
    <col min="7" max="7" width="17.1796875" style="1043" customWidth="1"/>
    <col min="8" max="9" width="12.7265625" style="1043" customWidth="1"/>
    <col min="10" max="10" width="12" style="1043" customWidth="1"/>
    <col min="11" max="11" width="16.453125" style="1043" bestFit="1" customWidth="1"/>
    <col min="12" max="12" width="22.1796875" style="1043" bestFit="1" customWidth="1"/>
    <col min="13" max="13" width="22.1796875" style="406" bestFit="1" customWidth="1"/>
    <col min="14" max="14" width="8.453125" style="1043" customWidth="1"/>
    <col min="15" max="38" width="12.7265625" style="1043" customWidth="1"/>
    <col min="39" max="16384" width="9.1796875" style="1043"/>
  </cols>
  <sheetData>
    <row r="1" spans="1:22">
      <c r="A1" s="551"/>
    </row>
    <row r="2" spans="1:22">
      <c r="N2" s="1044"/>
    </row>
    <row r="3" spans="1:22">
      <c r="A3" s="1996" t="str">
        <f>+'SWT TCOS'!F4</f>
        <v xml:space="preserve">AEP West SPP Member Transmission Companies </v>
      </c>
      <c r="B3" s="1996"/>
      <c r="C3" s="1996"/>
      <c r="D3" s="1996"/>
      <c r="E3" s="1996"/>
      <c r="F3" s="1996"/>
      <c r="G3" s="1996"/>
      <c r="H3" s="1996"/>
      <c r="I3" s="1996"/>
      <c r="J3" s="1996"/>
      <c r="K3" s="1996"/>
      <c r="L3" s="1996"/>
      <c r="M3" s="1996"/>
      <c r="N3" s="1996"/>
    </row>
    <row r="4" spans="1:22">
      <c r="A4" s="2099" t="str">
        <f>+'SWT WS A-1 - Plant'!A3</f>
        <v xml:space="preserve">Actual / Projected 2019 Rate Year Cost of Service Formula Rate </v>
      </c>
      <c r="B4" s="2086"/>
      <c r="C4" s="2086"/>
      <c r="D4" s="2086"/>
      <c r="E4" s="2086"/>
      <c r="F4" s="2086"/>
      <c r="G4" s="2086"/>
      <c r="H4" s="2086"/>
      <c r="I4" s="2086"/>
      <c r="J4" s="2086"/>
      <c r="K4" s="2086"/>
      <c r="L4" s="2086"/>
      <c r="M4" s="2086"/>
      <c r="N4" s="2086"/>
    </row>
    <row r="5" spans="1:22" ht="15.75" customHeight="1">
      <c r="A5" s="2086" t="s">
        <v>598</v>
      </c>
      <c r="B5" s="2086"/>
      <c r="C5" s="2086"/>
      <c r="D5" s="2086"/>
      <c r="E5" s="2086"/>
      <c r="F5" s="2086"/>
      <c r="G5" s="2086"/>
      <c r="H5" s="2086"/>
      <c r="I5" s="2086"/>
      <c r="J5" s="2086"/>
      <c r="K5" s="2086"/>
      <c r="L5" s="2086"/>
      <c r="M5" s="2086"/>
      <c r="N5" s="2086"/>
      <c r="O5" s="1440"/>
      <c r="P5" s="1440"/>
      <c r="Q5" s="1440"/>
      <c r="R5" s="1440"/>
      <c r="S5" s="1440"/>
      <c r="T5" s="1440"/>
      <c r="U5" s="1440"/>
    </row>
    <row r="6" spans="1:22">
      <c r="A6" s="2025" t="str">
        <f>+'SWT TCOS'!F8</f>
        <v>AEP SOUTHWESTERN TRANSMISSION COMPANY</v>
      </c>
      <c r="B6" s="2025"/>
      <c r="C6" s="2025"/>
      <c r="D6" s="2025"/>
      <c r="E6" s="2025"/>
      <c r="F6" s="2025"/>
      <c r="G6" s="2025"/>
      <c r="H6" s="2025"/>
      <c r="I6" s="2025"/>
      <c r="J6" s="2025"/>
      <c r="K6" s="2025"/>
      <c r="L6" s="2025"/>
      <c r="M6" s="2025"/>
      <c r="N6" s="2025"/>
    </row>
    <row r="7" spans="1:22" ht="25">
      <c r="A7" s="1045"/>
      <c r="B7" s="1046"/>
      <c r="C7" s="1046"/>
      <c r="D7" s="1046"/>
      <c r="E7" s="1046"/>
      <c r="F7" s="1046"/>
      <c r="G7" s="1046"/>
      <c r="H7" s="1046"/>
      <c r="I7" s="1046"/>
      <c r="J7" s="1046"/>
      <c r="K7" s="1046"/>
      <c r="L7" s="338"/>
      <c r="M7" s="1047"/>
    </row>
    <row r="8" spans="1:22" ht="20">
      <c r="A8" s="1048"/>
      <c r="B8" s="1046"/>
      <c r="C8" s="1046"/>
      <c r="D8" s="1046"/>
      <c r="E8" s="1046"/>
      <c r="F8" s="1046"/>
      <c r="G8" s="1046"/>
      <c r="H8" s="1046"/>
      <c r="I8" s="1046"/>
      <c r="J8" s="1046"/>
      <c r="K8" s="1046"/>
      <c r="L8" s="1046"/>
      <c r="M8" s="1049"/>
    </row>
    <row r="9" spans="1:22" ht="20">
      <c r="A9" s="1046"/>
      <c r="B9" s="1046"/>
      <c r="C9" s="1838"/>
      <c r="D9" s="1838"/>
      <c r="E9" s="1838"/>
      <c r="F9" s="1838"/>
      <c r="G9" s="1838"/>
      <c r="H9" s="1838"/>
      <c r="I9" s="1838"/>
      <c r="J9" s="1838"/>
      <c r="K9" s="1051" t="s">
        <v>318</v>
      </c>
      <c r="L9" s="1051" t="s">
        <v>209</v>
      </c>
      <c r="M9" s="1052"/>
      <c r="N9" s="328"/>
      <c r="P9" s="328"/>
      <c r="R9" s="328"/>
      <c r="S9" s="328"/>
      <c r="T9" s="328"/>
      <c r="U9" s="279"/>
      <c r="V9" s="279"/>
    </row>
    <row r="10" spans="1:22" ht="20">
      <c r="A10" s="1838"/>
      <c r="B10" s="1053" t="s">
        <v>596</v>
      </c>
      <c r="C10" s="1838"/>
      <c r="D10" s="1838"/>
      <c r="E10" s="1838"/>
      <c r="F10" s="1838"/>
      <c r="G10" s="1838"/>
      <c r="H10" s="1838"/>
      <c r="I10" s="1838"/>
      <c r="J10" s="1046"/>
      <c r="K10" s="1051" t="s">
        <v>319</v>
      </c>
      <c r="L10" s="1051" t="s">
        <v>254</v>
      </c>
      <c r="M10" s="1051" t="s">
        <v>254</v>
      </c>
      <c r="N10" s="328"/>
      <c r="O10" s="328"/>
      <c r="P10" s="328"/>
      <c r="Q10" s="328"/>
      <c r="R10" s="328"/>
      <c r="S10" s="328"/>
      <c r="T10" s="1054"/>
      <c r="U10" s="279"/>
      <c r="V10" s="279"/>
    </row>
    <row r="11" spans="1:22" ht="20">
      <c r="A11" s="1838"/>
      <c r="B11" s="1055"/>
      <c r="C11" s="1046"/>
      <c r="D11" s="1838"/>
      <c r="E11" s="1838"/>
      <c r="F11" s="1838"/>
      <c r="G11" s="1838"/>
      <c r="H11" s="1838"/>
      <c r="I11" s="1838"/>
      <c r="J11" s="1046"/>
      <c r="K11" s="1838"/>
      <c r="L11" s="1838"/>
      <c r="M11" s="1056"/>
      <c r="N11" s="328"/>
      <c r="O11" s="328"/>
      <c r="P11" s="328"/>
      <c r="Q11" s="328"/>
      <c r="R11" s="328"/>
      <c r="S11" s="328"/>
      <c r="T11" s="1054"/>
      <c r="U11" s="279"/>
      <c r="V11" s="279"/>
    </row>
    <row r="12" spans="1:22" ht="20.25" customHeight="1">
      <c r="A12" s="1838"/>
      <c r="B12" s="1057">
        <v>1</v>
      </c>
      <c r="C12" s="1058" t="s">
        <v>640</v>
      </c>
      <c r="D12" s="1046"/>
      <c r="E12" s="1046"/>
      <c r="F12" s="1838"/>
      <c r="G12" s="1046"/>
      <c r="H12" s="1046"/>
      <c r="I12" s="1838"/>
      <c r="J12" s="1046"/>
      <c r="K12" s="1059">
        <v>0</v>
      </c>
      <c r="L12" s="1060">
        <f>+K12-M12</f>
        <v>0</v>
      </c>
      <c r="M12" s="1006">
        <v>0</v>
      </c>
      <c r="N12" s="279"/>
      <c r="O12" s="279"/>
      <c r="P12" s="279"/>
      <c r="Q12" s="279"/>
      <c r="R12" s="279"/>
      <c r="S12" s="279"/>
      <c r="T12" s="328"/>
      <c r="U12" s="279"/>
      <c r="V12" s="279"/>
    </row>
    <row r="13" spans="1:22" ht="20.25" customHeight="1">
      <c r="A13" s="1838"/>
      <c r="B13" s="1057"/>
      <c r="C13" s="1055"/>
      <c r="D13" s="1046"/>
      <c r="E13" s="1046"/>
      <c r="F13" s="1838"/>
      <c r="G13" s="1046"/>
      <c r="H13" s="1046"/>
      <c r="I13" s="1838"/>
      <c r="J13" s="1046"/>
      <c r="K13" s="1839"/>
      <c r="L13" s="1062"/>
      <c r="M13" s="1062"/>
      <c r="N13" s="279"/>
      <c r="O13" s="279"/>
      <c r="P13" s="279"/>
      <c r="Q13" s="279"/>
      <c r="R13" s="279"/>
      <c r="S13" s="279"/>
      <c r="T13" s="328"/>
      <c r="U13" s="279"/>
      <c r="V13" s="279"/>
    </row>
    <row r="14" spans="1:22" ht="20.5">
      <c r="A14" s="1838"/>
      <c r="B14" s="1057">
        <f>+B12+1</f>
        <v>2</v>
      </c>
      <c r="C14" s="3" t="s">
        <v>611</v>
      </c>
      <c r="D14" s="1046"/>
      <c r="E14" s="1046"/>
      <c r="F14" s="1838"/>
      <c r="G14" s="1046"/>
      <c r="H14" s="1062"/>
      <c r="I14" s="1838"/>
      <c r="J14" s="1046"/>
      <c r="K14" s="1059">
        <v>0</v>
      </c>
      <c r="L14" s="1060">
        <f>+K14-M14</f>
        <v>0</v>
      </c>
      <c r="M14" s="1006">
        <v>0</v>
      </c>
      <c r="N14" s="279"/>
      <c r="O14" s="279"/>
      <c r="P14" s="279"/>
      <c r="Q14" s="279"/>
      <c r="R14" s="279"/>
      <c r="S14" s="279"/>
      <c r="T14" s="279"/>
      <c r="U14" s="279"/>
      <c r="V14" s="279"/>
    </row>
    <row r="15" spans="1:22" ht="20.5">
      <c r="A15" s="1838"/>
      <c r="B15" s="1057"/>
      <c r="C15" s="1055"/>
      <c r="D15" s="1046"/>
      <c r="E15" s="1046"/>
      <c r="F15" s="1838"/>
      <c r="G15" s="1046"/>
      <c r="H15" s="1062"/>
      <c r="I15" s="1838"/>
      <c r="J15" s="1838"/>
      <c r="K15" s="1839"/>
      <c r="L15" s="1838"/>
      <c r="M15" s="1063"/>
      <c r="N15" s="279"/>
      <c r="O15" s="279"/>
      <c r="P15" s="279"/>
      <c r="Q15" s="279"/>
      <c r="R15" s="279"/>
      <c r="S15" s="279"/>
      <c r="T15" s="279"/>
      <c r="U15" s="279"/>
      <c r="V15" s="279"/>
    </row>
    <row r="16" spans="1:22" ht="18">
      <c r="A16" s="1838"/>
      <c r="C16" s="1058" t="s">
        <v>641</v>
      </c>
      <c r="D16" s="1046"/>
      <c r="E16" s="1046"/>
      <c r="F16" s="1838"/>
      <c r="G16" s="1046"/>
      <c r="H16" s="1046"/>
      <c r="I16" s="1838"/>
      <c r="J16" s="1838"/>
      <c r="K16" s="1839"/>
      <c r="L16" s="1060"/>
      <c r="M16" s="1006"/>
      <c r="N16" s="279"/>
      <c r="O16" s="279"/>
      <c r="P16" s="279"/>
      <c r="Q16" s="279"/>
      <c r="R16" s="279"/>
      <c r="S16" s="279"/>
      <c r="T16" s="279"/>
      <c r="U16" s="279"/>
      <c r="V16" s="279"/>
    </row>
    <row r="17" spans="1:22" ht="20.5">
      <c r="A17" s="1838"/>
      <c r="B17" s="1057"/>
      <c r="C17" s="1064"/>
      <c r="D17" s="1052" t="s">
        <v>96</v>
      </c>
      <c r="E17" s="1046"/>
      <c r="F17" s="1838"/>
      <c r="G17" s="1840"/>
      <c r="H17" s="1062"/>
      <c r="I17" s="1838"/>
      <c r="J17" s="1838"/>
      <c r="K17" s="1059">
        <v>0</v>
      </c>
      <c r="L17" s="1060">
        <f>+K17-M17</f>
        <v>0</v>
      </c>
      <c r="M17" s="1059">
        <v>0</v>
      </c>
      <c r="N17" s="279"/>
      <c r="O17" s="279"/>
      <c r="P17" s="279"/>
      <c r="Q17" s="279"/>
      <c r="R17" s="279"/>
      <c r="S17" s="279"/>
      <c r="T17" s="279"/>
      <c r="U17" s="279"/>
      <c r="V17" s="279"/>
    </row>
    <row r="18" spans="1:22" ht="20.5">
      <c r="A18" s="1838"/>
      <c r="B18" s="1057"/>
      <c r="C18" s="1066"/>
      <c r="D18" s="1052" t="s">
        <v>97</v>
      </c>
      <c r="E18" s="1046"/>
      <c r="F18" s="1838"/>
      <c r="G18" s="1840"/>
      <c r="H18" s="1062"/>
      <c r="I18" s="1838"/>
      <c r="J18" s="1838"/>
      <c r="K18" s="1059">
        <v>0</v>
      </c>
      <c r="L18" s="1060">
        <f>+K18-M18</f>
        <v>0</v>
      </c>
      <c r="M18" s="1059">
        <v>0</v>
      </c>
      <c r="N18" s="279"/>
      <c r="O18" s="279"/>
      <c r="P18" s="279"/>
      <c r="Q18" s="279"/>
      <c r="R18" s="279"/>
      <c r="S18" s="279"/>
      <c r="T18" s="279"/>
      <c r="U18" s="279"/>
      <c r="V18" s="279"/>
    </row>
    <row r="19" spans="1:22" ht="20.5">
      <c r="A19" s="1838"/>
      <c r="B19" s="1057"/>
      <c r="C19" s="1066"/>
      <c r="D19" s="1052" t="s">
        <v>409</v>
      </c>
      <c r="E19" s="1046"/>
      <c r="F19" s="1838"/>
      <c r="G19" s="1840"/>
      <c r="H19" s="1062"/>
      <c r="I19" s="1838"/>
      <c r="J19" s="1838"/>
      <c r="K19" s="1059">
        <v>0</v>
      </c>
      <c r="L19" s="1060">
        <f>+K19-M19</f>
        <v>0</v>
      </c>
      <c r="M19" s="1059">
        <v>0</v>
      </c>
      <c r="O19" s="279"/>
      <c r="P19" s="279"/>
      <c r="Q19" s="279"/>
      <c r="R19" s="279"/>
      <c r="S19" s="279"/>
      <c r="T19" s="279"/>
      <c r="U19" s="279"/>
      <c r="V19" s="279"/>
    </row>
    <row r="20" spans="1:22" ht="20.5">
      <c r="A20" s="1838"/>
      <c r="B20" s="1057"/>
      <c r="C20" s="1066"/>
      <c r="D20" s="1067" t="s">
        <v>98</v>
      </c>
      <c r="E20" s="1046"/>
      <c r="F20" s="1838"/>
      <c r="G20" s="1840"/>
      <c r="H20" s="1062"/>
      <c r="I20" s="1838"/>
      <c r="J20" s="1838"/>
      <c r="K20" s="1059">
        <v>0</v>
      </c>
      <c r="L20" s="1060">
        <f>+K20-M20</f>
        <v>0</v>
      </c>
      <c r="M20" s="1059">
        <v>0</v>
      </c>
      <c r="N20" s="279"/>
      <c r="O20" s="279"/>
      <c r="P20" s="279"/>
      <c r="Q20" s="279"/>
      <c r="R20" s="279"/>
      <c r="S20" s="279"/>
      <c r="T20" s="279"/>
      <c r="U20" s="279"/>
      <c r="V20" s="279"/>
    </row>
    <row r="21" spans="1:22" ht="20.5">
      <c r="A21" s="1838"/>
      <c r="B21" s="1057"/>
      <c r="C21" s="1066"/>
      <c r="D21" s="1067" t="s">
        <v>500</v>
      </c>
      <c r="E21" s="1046"/>
      <c r="F21" s="1838"/>
      <c r="G21" s="1840"/>
      <c r="H21" s="1062"/>
      <c r="I21" s="1838"/>
      <c r="J21" s="1838"/>
      <c r="K21" s="1059"/>
      <c r="L21" s="1060"/>
      <c r="M21" s="1059"/>
      <c r="N21" s="279"/>
      <c r="O21" s="279"/>
      <c r="P21" s="279"/>
      <c r="Q21" s="279"/>
      <c r="R21" s="279"/>
      <c r="S21" s="279"/>
      <c r="T21" s="279"/>
      <c r="U21" s="279"/>
      <c r="V21" s="279"/>
    </row>
    <row r="22" spans="1:22" ht="20.5">
      <c r="A22" s="1838"/>
      <c r="B22" s="1057">
        <f>+B14+1</f>
        <v>3</v>
      </c>
      <c r="C22" s="1066"/>
      <c r="D22" s="1052" t="s">
        <v>499</v>
      </c>
      <c r="E22" s="1046"/>
      <c r="F22" s="1838"/>
      <c r="G22" s="1840"/>
      <c r="H22" s="1062"/>
      <c r="I22" s="1838"/>
      <c r="J22" s="1838"/>
      <c r="K22" s="1068">
        <f>SUM(K17:K21)</f>
        <v>0</v>
      </c>
      <c r="L22" s="1060"/>
      <c r="M22" s="1068">
        <f>SUM(M17:M21)</f>
        <v>0</v>
      </c>
      <c r="N22" s="279"/>
      <c r="O22" s="279"/>
      <c r="P22" s="279"/>
      <c r="Q22" s="279"/>
      <c r="R22" s="279"/>
      <c r="S22" s="279"/>
      <c r="T22" s="279"/>
      <c r="U22" s="279"/>
      <c r="V22" s="279"/>
    </row>
    <row r="23" spans="1:22" ht="20.5">
      <c r="A23" s="1838"/>
      <c r="B23" s="1057"/>
      <c r="C23" s="1062"/>
      <c r="D23" s="1046"/>
      <c r="E23" s="1046"/>
      <c r="F23" s="1838"/>
      <c r="G23" s="1840"/>
      <c r="H23" s="1062"/>
      <c r="I23" s="1838"/>
      <c r="J23" s="1838"/>
      <c r="K23" s="1838"/>
      <c r="L23" s="1838"/>
      <c r="M23" s="1062"/>
      <c r="N23" s="279"/>
      <c r="O23" s="279"/>
      <c r="P23" s="279"/>
      <c r="Q23" s="279"/>
      <c r="R23" s="279"/>
      <c r="S23" s="279"/>
      <c r="T23" s="279"/>
      <c r="U23" s="279"/>
      <c r="V23" s="279"/>
    </row>
    <row r="24" spans="1:22" ht="20.5">
      <c r="A24" s="1838"/>
      <c r="B24" s="1057"/>
      <c r="C24" s="1069"/>
      <c r="D24" s="1046"/>
      <c r="E24" s="1046"/>
      <c r="F24" s="1838"/>
      <c r="G24" s="1840"/>
      <c r="H24" s="1062"/>
      <c r="I24" s="1838"/>
      <c r="J24" s="1838"/>
      <c r="K24" s="1838"/>
      <c r="L24" s="1838"/>
      <c r="M24" s="1062"/>
      <c r="N24" s="279"/>
      <c r="O24" s="279"/>
      <c r="P24" s="279"/>
      <c r="Q24" s="279"/>
      <c r="R24" s="279"/>
      <c r="S24" s="279"/>
      <c r="T24" s="279"/>
      <c r="U24" s="279"/>
      <c r="V24" s="279"/>
    </row>
    <row r="25" spans="1:22" ht="20.5">
      <c r="A25" s="1838"/>
      <c r="B25" s="1057"/>
      <c r="C25" s="1062"/>
      <c r="D25" s="1046"/>
      <c r="E25" s="1046"/>
      <c r="F25" s="1838"/>
      <c r="G25" s="1840"/>
      <c r="H25" s="1062"/>
      <c r="I25" s="1838"/>
      <c r="J25" s="1838"/>
      <c r="K25" s="1838"/>
      <c r="L25" s="1838"/>
      <c r="M25" s="1062"/>
      <c r="N25" s="279"/>
      <c r="O25" s="279"/>
      <c r="P25" s="279"/>
      <c r="Q25" s="279"/>
      <c r="R25" s="279"/>
      <c r="S25" s="279"/>
      <c r="T25" s="279"/>
      <c r="U25" s="279"/>
      <c r="V25" s="279"/>
    </row>
    <row r="26" spans="1:22" ht="20.5">
      <c r="A26" s="1838"/>
      <c r="B26" s="1057"/>
      <c r="C26" s="3" t="s">
        <v>600</v>
      </c>
      <c r="D26" s="1046"/>
      <c r="E26" s="1046"/>
      <c r="F26" s="1838"/>
      <c r="G26" s="1840"/>
      <c r="H26" s="1062"/>
      <c r="I26" s="1838"/>
      <c r="J26" s="1838"/>
      <c r="K26" s="397"/>
      <c r="L26" s="397"/>
      <c r="M26" s="397"/>
      <c r="N26" s="279"/>
      <c r="O26" s="279"/>
      <c r="P26" s="279"/>
      <c r="Q26" s="279"/>
      <c r="R26" s="279"/>
      <c r="S26" s="279"/>
      <c r="T26" s="279"/>
      <c r="U26" s="279"/>
      <c r="V26" s="279"/>
    </row>
    <row r="27" spans="1:22" ht="20.5">
      <c r="A27" s="1838"/>
      <c r="B27" s="1057"/>
      <c r="C27" s="407">
        <v>1</v>
      </c>
      <c r="D27" s="1052" t="s">
        <v>99</v>
      </c>
      <c r="E27" s="1046"/>
      <c r="F27" s="1838"/>
      <c r="G27" s="1840"/>
      <c r="H27" s="1062"/>
      <c r="I27" s="1838"/>
      <c r="J27" s="1838"/>
      <c r="K27" s="1059">
        <v>0</v>
      </c>
      <c r="L27" s="1060">
        <f t="shared" ref="L27:L28" si="0">+K27-M27</f>
        <v>0</v>
      </c>
      <c r="M27" s="1059">
        <v>0</v>
      </c>
      <c r="N27" s="279"/>
      <c r="O27" s="279"/>
      <c r="P27" s="279"/>
      <c r="Q27" s="279"/>
      <c r="R27" s="279"/>
      <c r="S27" s="279"/>
      <c r="T27" s="279"/>
      <c r="U27" s="279"/>
      <c r="V27" s="279"/>
    </row>
    <row r="28" spans="1:22" ht="20.5">
      <c r="A28" s="1838"/>
      <c r="B28" s="1057"/>
      <c r="C28" s="407">
        <v>2</v>
      </c>
      <c r="D28" s="1052" t="s">
        <v>601</v>
      </c>
      <c r="E28" s="1046"/>
      <c r="F28" s="1838"/>
      <c r="G28" s="1840"/>
      <c r="H28" s="1062"/>
      <c r="I28" s="1838"/>
      <c r="J28" s="1838"/>
      <c r="K28" s="1059">
        <v>0</v>
      </c>
      <c r="L28" s="1060">
        <f t="shared" si="0"/>
        <v>0</v>
      </c>
      <c r="M28" s="1059">
        <v>0</v>
      </c>
      <c r="N28" s="279"/>
      <c r="O28" s="279"/>
      <c r="P28" s="279"/>
      <c r="Q28" s="279"/>
      <c r="R28" s="279"/>
      <c r="S28" s="279"/>
      <c r="T28" s="279"/>
      <c r="U28" s="279"/>
      <c r="V28" s="279"/>
    </row>
    <row r="29" spans="1:22" ht="20.5">
      <c r="A29" s="1838"/>
      <c r="B29" s="1057">
        <f>+B22+1</f>
        <v>4</v>
      </c>
      <c r="C29" s="3"/>
      <c r="D29" s="1052" t="s">
        <v>612</v>
      </c>
      <c r="E29" s="1046"/>
      <c r="F29" s="1838"/>
      <c r="G29" s="1840"/>
      <c r="H29" s="1062"/>
      <c r="I29" s="1838"/>
      <c r="J29" s="1838"/>
      <c r="K29" s="1070">
        <f>+SUM(K27:K28)</f>
        <v>0</v>
      </c>
      <c r="L29" s="1060"/>
      <c r="M29" s="1070">
        <f>+SUM(M27:M28)</f>
        <v>0</v>
      </c>
      <c r="N29" s="279"/>
      <c r="O29" s="279"/>
      <c r="P29" s="279"/>
      <c r="Q29" s="279"/>
      <c r="R29" s="279"/>
      <c r="S29" s="279"/>
      <c r="T29" s="279"/>
      <c r="U29" s="279"/>
      <c r="V29" s="279"/>
    </row>
    <row r="30" spans="1:22" ht="20.5">
      <c r="A30" s="1838"/>
      <c r="B30" s="1057"/>
      <c r="E30" s="1046"/>
      <c r="F30" s="1838"/>
      <c r="G30" s="1840"/>
      <c r="H30" s="1062"/>
      <c r="I30" s="1838"/>
      <c r="J30" s="1838"/>
      <c r="M30" s="1043"/>
      <c r="N30" s="279"/>
      <c r="O30" s="279"/>
      <c r="P30" s="279"/>
      <c r="Q30" s="279"/>
      <c r="R30" s="279"/>
      <c r="S30" s="279"/>
      <c r="T30" s="279"/>
      <c r="U30" s="279"/>
      <c r="V30" s="279"/>
    </row>
    <row r="31" spans="1:22" ht="20.5">
      <c r="A31" s="1838"/>
      <c r="B31" s="1057"/>
      <c r="C31" s="1055"/>
      <c r="D31" s="1046"/>
      <c r="E31" s="1046"/>
      <c r="F31" s="1838"/>
      <c r="G31" s="1840"/>
      <c r="H31" s="1062"/>
      <c r="I31" s="1838"/>
      <c r="J31" s="1838"/>
      <c r="K31" s="1838"/>
      <c r="L31" s="1838"/>
      <c r="M31" s="1071"/>
      <c r="N31" s="279"/>
      <c r="O31" s="279"/>
      <c r="P31" s="279"/>
      <c r="Q31" s="279"/>
      <c r="R31" s="279"/>
      <c r="S31" s="279"/>
      <c r="T31" s="279"/>
      <c r="U31" s="279"/>
      <c r="V31" s="279"/>
    </row>
    <row r="32" spans="1:22" ht="20.25" customHeight="1">
      <c r="A32" s="1838"/>
      <c r="B32" s="1057"/>
      <c r="C32" s="3" t="s">
        <v>597</v>
      </c>
      <c r="D32" s="1046"/>
      <c r="E32" s="1046"/>
      <c r="F32" s="1838"/>
      <c r="G32" s="1046"/>
      <c r="H32" s="1046"/>
      <c r="I32" s="1838"/>
      <c r="J32" s="1838"/>
      <c r="K32" s="1046"/>
      <c r="L32" s="1046"/>
      <c r="M32" s="1059">
        <v>123845.86</v>
      </c>
      <c r="N32" s="279"/>
      <c r="O32" s="279"/>
      <c r="P32" s="279"/>
      <c r="Q32" s="279"/>
      <c r="R32" s="279"/>
      <c r="S32" s="279"/>
      <c r="T32" s="328"/>
      <c r="U32" s="279"/>
      <c r="V32" s="279"/>
    </row>
    <row r="33" spans="1:22" ht="19.899999999999999" customHeight="1">
      <c r="A33" s="1838"/>
      <c r="B33" s="1057"/>
      <c r="C33" s="1069"/>
      <c r="D33" s="1838"/>
      <c r="E33" s="1838"/>
      <c r="F33" s="1838"/>
      <c r="G33" s="1838"/>
      <c r="H33" s="1046"/>
      <c r="I33" s="1838"/>
      <c r="J33" s="1838"/>
      <c r="K33" s="1838"/>
      <c r="L33" s="1046"/>
      <c r="M33" s="1841"/>
      <c r="N33" s="279"/>
      <c r="O33" s="279"/>
      <c r="P33" s="279"/>
      <c r="Q33" s="279"/>
      <c r="R33" s="279"/>
      <c r="S33" s="279"/>
      <c r="T33" s="326"/>
      <c r="U33" s="279"/>
      <c r="V33" s="279"/>
    </row>
    <row r="34" spans="1:22" ht="19.899999999999999" customHeight="1">
      <c r="A34" s="1838"/>
      <c r="B34" s="1057"/>
      <c r="C34" s="1072" t="s">
        <v>100</v>
      </c>
      <c r="D34" s="1046"/>
      <c r="E34" s="1838"/>
      <c r="F34" s="1046"/>
      <c r="G34" s="1838"/>
      <c r="H34" s="1838"/>
      <c r="I34" s="1838"/>
      <c r="J34" s="1838"/>
      <c r="K34" s="1838"/>
      <c r="L34" s="1046"/>
      <c r="M34" s="1841"/>
      <c r="N34" s="279"/>
      <c r="O34" s="279"/>
      <c r="P34" s="279"/>
      <c r="Q34" s="279"/>
      <c r="R34" s="279"/>
      <c r="S34" s="279"/>
      <c r="T34" s="326"/>
      <c r="U34" s="279"/>
      <c r="V34" s="279"/>
    </row>
    <row r="35" spans="1:22" ht="19.899999999999999" customHeight="1">
      <c r="A35" s="1838"/>
      <c r="B35" s="1057"/>
      <c r="C35" s="407"/>
      <c r="D35" s="1074" t="s">
        <v>101</v>
      </c>
      <c r="E35" s="1075"/>
      <c r="F35" s="1046"/>
      <c r="G35" s="1838"/>
      <c r="H35" s="1838"/>
      <c r="I35" s="1838"/>
      <c r="J35" s="1838"/>
      <c r="K35" s="1838"/>
      <c r="L35" s="1046"/>
      <c r="M35" s="1059"/>
      <c r="N35" s="279"/>
      <c r="O35" s="279"/>
      <c r="P35" s="279"/>
      <c r="Q35" s="279"/>
      <c r="R35" s="279"/>
      <c r="S35" s="279"/>
      <c r="T35" s="326"/>
      <c r="U35" s="279"/>
      <c r="V35" s="279"/>
    </row>
    <row r="36" spans="1:22" ht="19.899999999999999" customHeight="1">
      <c r="A36" s="1838"/>
      <c r="B36" s="1057"/>
      <c r="C36" s="407"/>
      <c r="D36" s="1074" t="s">
        <v>102</v>
      </c>
      <c r="E36" s="1075"/>
      <c r="F36" s="1046"/>
      <c r="G36" s="1838"/>
      <c r="H36" s="1838"/>
      <c r="I36" s="1838"/>
      <c r="J36" s="1838"/>
      <c r="K36" s="1838"/>
      <c r="L36" s="1046"/>
      <c r="M36" s="1059"/>
      <c r="N36" s="279"/>
      <c r="O36" s="279"/>
      <c r="P36" s="279"/>
      <c r="Q36" s="279"/>
      <c r="R36" s="279"/>
      <c r="S36" s="279"/>
      <c r="T36" s="326"/>
      <c r="U36" s="279"/>
      <c r="V36" s="279"/>
    </row>
    <row r="37" spans="1:22" ht="19.899999999999999" customHeight="1">
      <c r="A37" s="1838"/>
      <c r="B37" s="1057"/>
      <c r="C37" s="407"/>
      <c r="D37" s="1074" t="s">
        <v>103</v>
      </c>
      <c r="E37" s="1075"/>
      <c r="F37" s="1046"/>
      <c r="G37" s="1838"/>
      <c r="H37" s="1838"/>
      <c r="I37" s="1838"/>
      <c r="J37" s="1838"/>
      <c r="K37" s="1838"/>
      <c r="L37" s="1046"/>
      <c r="M37" s="1059"/>
      <c r="N37" s="279"/>
      <c r="O37" s="279"/>
      <c r="P37" s="279"/>
      <c r="Q37" s="279"/>
      <c r="R37" s="279"/>
      <c r="S37" s="279"/>
      <c r="T37" s="326"/>
      <c r="U37" s="279"/>
      <c r="V37" s="279"/>
    </row>
    <row r="38" spans="1:22" ht="19.899999999999999" customHeight="1">
      <c r="A38" s="1838"/>
      <c r="B38" s="1057"/>
      <c r="C38" s="407"/>
      <c r="D38" s="1074" t="s">
        <v>104</v>
      </c>
      <c r="E38" s="1075"/>
      <c r="F38" s="1046"/>
      <c r="G38" s="1838"/>
      <c r="H38" s="1838"/>
      <c r="I38" s="1838"/>
      <c r="J38" s="1838"/>
      <c r="K38" s="1046"/>
      <c r="L38" s="1046"/>
      <c r="M38" s="1059">
        <v>0</v>
      </c>
      <c r="N38" s="279"/>
      <c r="O38" s="279"/>
      <c r="P38" s="279"/>
      <c r="Q38" s="279"/>
      <c r="R38" s="279"/>
      <c r="S38" s="279"/>
      <c r="T38" s="326"/>
      <c r="U38" s="279"/>
      <c r="V38" s="279"/>
    </row>
    <row r="39" spans="1:22" ht="19.899999999999999" customHeight="1">
      <c r="A39" s="1838"/>
      <c r="B39" s="1057"/>
      <c r="C39" s="407"/>
      <c r="D39" s="1074" t="s">
        <v>105</v>
      </c>
      <c r="E39" s="1076"/>
      <c r="F39" s="1046"/>
      <c r="G39" s="1838"/>
      <c r="H39" s="1838"/>
      <c r="I39" s="1838"/>
      <c r="J39" s="1838"/>
      <c r="K39" s="1838"/>
      <c r="L39" s="1046"/>
      <c r="M39" s="1059">
        <v>123107.76999999999</v>
      </c>
      <c r="N39" s="279"/>
      <c r="O39" s="279"/>
      <c r="P39" s="279"/>
      <c r="Q39" s="279"/>
      <c r="R39" s="279"/>
      <c r="S39" s="279"/>
      <c r="T39" s="326"/>
      <c r="U39" s="279"/>
      <c r="V39" s="279"/>
    </row>
    <row r="40" spans="1:22" ht="19.899999999999999" customHeight="1">
      <c r="A40" s="1838"/>
      <c r="B40" s="1057"/>
      <c r="C40" s="407"/>
      <c r="D40" s="1074" t="s">
        <v>106</v>
      </c>
      <c r="E40" s="1075"/>
      <c r="F40" s="1838"/>
      <c r="G40" s="1838"/>
      <c r="H40" s="1838"/>
      <c r="I40" s="1838"/>
      <c r="J40" s="1838"/>
      <c r="K40" s="1838"/>
      <c r="L40" s="1046"/>
      <c r="M40" s="1059">
        <v>0</v>
      </c>
      <c r="N40" s="279"/>
      <c r="O40" s="279"/>
      <c r="P40" s="279"/>
      <c r="Q40" s="279"/>
      <c r="R40" s="279"/>
      <c r="S40" s="279"/>
      <c r="T40" s="326"/>
      <c r="U40" s="279"/>
      <c r="V40" s="279"/>
    </row>
    <row r="41" spans="1:22" ht="19.899999999999999" customHeight="1">
      <c r="A41" s="1838"/>
      <c r="B41" s="1057"/>
      <c r="C41" s="407"/>
      <c r="D41" s="1074" t="s">
        <v>107</v>
      </c>
      <c r="E41" s="1075"/>
      <c r="F41" s="1838"/>
      <c r="G41" s="1838"/>
      <c r="H41" s="1838"/>
      <c r="I41" s="1838"/>
      <c r="J41" s="1838"/>
      <c r="K41" s="1838"/>
      <c r="L41" s="1046"/>
      <c r="M41" s="1059">
        <v>0</v>
      </c>
      <c r="N41" s="279"/>
      <c r="O41" s="279"/>
      <c r="P41" s="279"/>
      <c r="Q41" s="279"/>
      <c r="R41" s="279"/>
      <c r="S41" s="279"/>
      <c r="T41" s="326"/>
      <c r="U41" s="279"/>
      <c r="V41" s="279"/>
    </row>
    <row r="42" spans="1:22" ht="19.899999999999999" customHeight="1">
      <c r="A42" s="1838"/>
      <c r="B42" s="1057"/>
      <c r="C42" s="407"/>
      <c r="D42" s="1074" t="s">
        <v>108</v>
      </c>
      <c r="E42" s="1075"/>
      <c r="F42" s="1838"/>
      <c r="G42" s="1838"/>
      <c r="H42" s="1838"/>
      <c r="I42" s="1838"/>
      <c r="J42" s="1838"/>
      <c r="K42" s="1838"/>
      <c r="L42" s="1046"/>
      <c r="M42" s="1059">
        <v>41.94</v>
      </c>
      <c r="N42" s="279"/>
      <c r="O42" s="279"/>
      <c r="P42" s="279"/>
      <c r="Q42" s="279"/>
      <c r="R42" s="279"/>
      <c r="S42" s="279"/>
      <c r="T42" s="326"/>
      <c r="U42" s="279"/>
      <c r="V42" s="279"/>
    </row>
    <row r="43" spans="1:22" ht="19.899999999999999" customHeight="1">
      <c r="A43" s="1838"/>
      <c r="B43" s="1057"/>
      <c r="C43" s="407"/>
      <c r="D43" s="1074" t="s">
        <v>109</v>
      </c>
      <c r="E43" s="1075"/>
      <c r="F43" s="1838"/>
      <c r="G43" s="1838"/>
      <c r="H43" s="1838"/>
      <c r="I43" s="1838"/>
      <c r="J43" s="1838"/>
      <c r="K43" s="1838"/>
      <c r="L43" s="1046"/>
      <c r="M43" s="1059">
        <v>0</v>
      </c>
      <c r="N43" s="279"/>
      <c r="O43" s="279"/>
      <c r="P43" s="279"/>
      <c r="Q43" s="279"/>
      <c r="R43" s="279"/>
      <c r="S43" s="279"/>
      <c r="T43" s="326"/>
      <c r="U43" s="279"/>
      <c r="V43" s="279"/>
    </row>
    <row r="44" spans="1:22" ht="19.899999999999999" customHeight="1">
      <c r="A44" s="1838"/>
      <c r="B44" s="1057"/>
      <c r="C44" s="407"/>
      <c r="D44" s="1077" t="s">
        <v>110</v>
      </c>
      <c r="E44" s="1075"/>
      <c r="F44" s="1838"/>
      <c r="G44" s="1838"/>
      <c r="H44" s="1838"/>
      <c r="I44" s="1838"/>
      <c r="J44" s="1838"/>
      <c r="K44" s="1838"/>
      <c r="L44" s="1046"/>
      <c r="M44" s="1059">
        <v>0</v>
      </c>
      <c r="N44" s="279"/>
      <c r="O44" s="279"/>
      <c r="P44" s="279"/>
      <c r="Q44" s="279"/>
      <c r="R44" s="279"/>
      <c r="S44" s="279"/>
      <c r="T44" s="326"/>
      <c r="U44" s="279"/>
      <c r="V44" s="279"/>
    </row>
    <row r="45" spans="1:22" ht="19.899999999999999" customHeight="1">
      <c r="A45" s="1838"/>
      <c r="B45" s="1057"/>
      <c r="C45" s="407"/>
      <c r="D45" s="1078" t="s">
        <v>317</v>
      </c>
      <c r="E45" s="1075"/>
      <c r="F45" s="1838"/>
      <c r="G45" s="1838"/>
      <c r="H45" s="1838"/>
      <c r="I45" s="1838"/>
      <c r="J45" s="1838"/>
      <c r="K45" s="1838"/>
      <c r="L45" s="1046"/>
      <c r="M45" s="1059"/>
      <c r="N45" s="279"/>
      <c r="O45" s="279"/>
      <c r="P45" s="279"/>
      <c r="Q45" s="279"/>
      <c r="R45" s="279"/>
      <c r="S45" s="279"/>
      <c r="T45" s="326"/>
      <c r="U45" s="279"/>
      <c r="V45" s="279"/>
    </row>
    <row r="46" spans="1:22" ht="19.899999999999999" customHeight="1">
      <c r="A46" s="1838"/>
      <c r="B46" s="1079">
        <f>+B29+1</f>
        <v>5</v>
      </c>
      <c r="C46" s="1080"/>
      <c r="D46" s="1080"/>
      <c r="E46" s="1080"/>
      <c r="F46" s="1080"/>
      <c r="G46" s="1080"/>
      <c r="H46" s="1080"/>
      <c r="I46" s="3" t="s">
        <v>642</v>
      </c>
      <c r="J46" s="1081"/>
      <c r="K46" s="1046"/>
      <c r="L46" s="1046"/>
      <c r="M46" s="1082">
        <f>+M32-SUM(M35:M45)</f>
        <v>696.15000000000873</v>
      </c>
      <c r="N46" s="279"/>
      <c r="O46" s="279"/>
      <c r="P46" s="279"/>
      <c r="Q46" s="279"/>
      <c r="R46" s="279"/>
      <c r="S46" s="279"/>
      <c r="T46" s="326"/>
      <c r="U46" s="279"/>
      <c r="V46" s="279"/>
    </row>
    <row r="47" spans="1:22" ht="19.899999999999999" customHeight="1">
      <c r="A47" s="1838"/>
      <c r="B47" s="1079"/>
      <c r="C47" s="1080"/>
      <c r="D47" s="1080"/>
      <c r="E47" s="1080"/>
      <c r="F47" s="1080"/>
      <c r="G47" s="1080"/>
      <c r="H47" s="1080"/>
      <c r="I47" s="1080"/>
      <c r="J47" s="1080"/>
      <c r="K47" s="1838"/>
      <c r="L47" s="1083"/>
      <c r="M47" s="1062"/>
      <c r="N47" s="279"/>
      <c r="O47" s="279"/>
      <c r="P47" s="279"/>
      <c r="Q47" s="279"/>
      <c r="R47" s="279"/>
      <c r="S47" s="279"/>
      <c r="T47" s="326"/>
      <c r="U47" s="279"/>
      <c r="V47" s="279"/>
    </row>
    <row r="48" spans="1:22" ht="39.75" customHeight="1">
      <c r="A48" s="1838"/>
      <c r="B48" s="1079">
        <f>+B46+1</f>
        <v>6</v>
      </c>
      <c r="C48" s="2042" t="s">
        <v>593</v>
      </c>
      <c r="D48" s="2042"/>
      <c r="E48" s="2042"/>
      <c r="F48" s="2042"/>
      <c r="G48" s="2042"/>
      <c r="H48" s="2042"/>
      <c r="I48" s="2042"/>
      <c r="J48" s="2042"/>
      <c r="K48" s="1059"/>
      <c r="L48" s="1060"/>
      <c r="M48" s="1059"/>
      <c r="N48" s="279"/>
      <c r="O48" s="279"/>
      <c r="P48" s="279"/>
      <c r="Q48" s="279"/>
      <c r="R48" s="279"/>
      <c r="S48" s="279"/>
      <c r="T48" s="326"/>
      <c r="U48" s="279"/>
      <c r="V48" s="279"/>
    </row>
    <row r="49" spans="1:22" ht="19.899999999999999" customHeight="1">
      <c r="A49" s="1838"/>
      <c r="B49" s="1079"/>
      <c r="C49" s="2"/>
      <c r="D49" s="1084"/>
      <c r="E49" s="1084"/>
      <c r="F49" s="1085"/>
      <c r="G49" s="1086"/>
      <c r="H49" s="1085"/>
      <c r="I49" s="1085"/>
      <c r="J49" s="1085"/>
      <c r="K49" s="1087"/>
      <c r="L49" s="1060"/>
      <c r="M49" s="1087"/>
      <c r="N49" s="279"/>
      <c r="O49" s="279"/>
      <c r="P49" s="279"/>
      <c r="Q49" s="279"/>
      <c r="R49" s="279"/>
      <c r="S49" s="279"/>
      <c r="T49" s="326"/>
      <c r="U49" s="279"/>
      <c r="V49" s="279"/>
    </row>
    <row r="50" spans="1:22" ht="20.5">
      <c r="A50" s="1838"/>
      <c r="B50" s="1079">
        <f>+B48+1</f>
        <v>7</v>
      </c>
      <c r="C50" s="2042" t="s">
        <v>594</v>
      </c>
      <c r="D50" s="2042"/>
      <c r="E50" s="2042"/>
      <c r="F50" s="2042"/>
      <c r="G50" s="2042"/>
      <c r="H50" s="2042"/>
      <c r="I50" s="2042"/>
      <c r="J50" s="2042"/>
      <c r="K50" s="1059"/>
      <c r="L50" s="1060"/>
      <c r="M50" s="1059"/>
      <c r="N50" s="279"/>
      <c r="O50" s="279"/>
      <c r="P50" s="279"/>
      <c r="Q50" s="279"/>
      <c r="R50" s="279"/>
      <c r="S50" s="279"/>
      <c r="T50" s="326"/>
      <c r="U50" s="279"/>
      <c r="V50" s="279"/>
    </row>
    <row r="51" spans="1:22" ht="19.899999999999999" customHeight="1">
      <c r="A51" s="1838"/>
      <c r="B51" s="1079"/>
      <c r="C51" s="3"/>
      <c r="D51" s="1081"/>
      <c r="E51" s="1081"/>
      <c r="F51" s="1080"/>
      <c r="G51" s="1088"/>
      <c r="H51" s="1080"/>
      <c r="I51" s="1080"/>
      <c r="J51" s="1080"/>
      <c r="K51" s="1087"/>
      <c r="L51" s="1060"/>
      <c r="M51" s="1087"/>
      <c r="N51" s="279"/>
      <c r="O51" s="279"/>
      <c r="P51" s="279"/>
      <c r="Q51" s="279"/>
      <c r="R51" s="279"/>
      <c r="S51" s="279"/>
      <c r="T51" s="326"/>
      <c r="U51" s="279"/>
      <c r="V51" s="279"/>
    </row>
    <row r="52" spans="1:22" ht="20.25" customHeight="1" thickBot="1">
      <c r="A52" s="1838"/>
      <c r="B52" s="1079">
        <f>+B50+1</f>
        <v>8</v>
      </c>
      <c r="C52" s="3" t="str">
        <f>"Total Revenue Credits - Sum lines "&amp;B12&amp;" through "&amp;B50&amp;""</f>
        <v>Total Revenue Credits - Sum lines 1 through 7</v>
      </c>
      <c r="D52" s="1081"/>
      <c r="E52" s="1081"/>
      <c r="F52" s="1080"/>
      <c r="G52" s="1081"/>
      <c r="H52" s="1081"/>
      <c r="I52" s="1080"/>
      <c r="J52" s="1080"/>
      <c r="K52" s="1838"/>
      <c r="L52" s="1838"/>
      <c r="M52" s="1089">
        <f>+M12+M14+M22+M29+M46+M48+M50</f>
        <v>696.15000000000873</v>
      </c>
      <c r="N52" s="279"/>
      <c r="O52" s="279"/>
      <c r="P52" s="279"/>
      <c r="Q52" s="279"/>
      <c r="R52" s="279"/>
      <c r="S52" s="279"/>
      <c r="T52" s="328"/>
      <c r="U52" s="279"/>
      <c r="V52" s="279"/>
    </row>
    <row r="53" spans="1:22" ht="19.899999999999999" customHeight="1" thickTop="1">
      <c r="A53" s="1838"/>
      <c r="B53" s="1838"/>
      <c r="C53" s="1838"/>
      <c r="D53" s="57"/>
      <c r="E53" s="1838"/>
      <c r="F53" s="1838"/>
      <c r="G53" s="1838"/>
      <c r="H53" s="1838"/>
      <c r="I53" s="1838"/>
      <c r="J53" s="1838"/>
      <c r="K53" s="1838"/>
      <c r="L53" s="1083"/>
      <c r="M53" s="279"/>
      <c r="N53" s="279"/>
      <c r="O53" s="279"/>
      <c r="P53" s="279"/>
      <c r="Q53" s="279"/>
      <c r="R53" s="279"/>
      <c r="S53" s="279"/>
      <c r="T53" s="326"/>
      <c r="U53" s="279"/>
      <c r="V53" s="279"/>
    </row>
    <row r="54" spans="1:22" ht="20">
      <c r="A54" s="1838"/>
      <c r="B54" s="1090"/>
      <c r="C54" s="1090"/>
      <c r="D54" s="1046"/>
      <c r="E54" s="1046"/>
      <c r="F54" s="1091"/>
      <c r="G54" s="1091"/>
      <c r="H54" s="1091"/>
      <c r="I54" s="1091"/>
      <c r="J54" s="1091"/>
      <c r="K54" s="1091"/>
      <c r="L54" s="1842"/>
      <c r="M54" s="279"/>
      <c r="N54" s="889"/>
      <c r="O54" s="889"/>
      <c r="P54" s="889"/>
      <c r="Q54" s="889"/>
      <c r="R54" s="272"/>
      <c r="S54" s="272"/>
      <c r="T54" s="279"/>
      <c r="U54" s="279"/>
      <c r="V54" s="279"/>
    </row>
    <row r="55" spans="1:22" ht="13">
      <c r="A55" s="1838"/>
      <c r="B55" s="1838"/>
      <c r="C55" s="1046"/>
      <c r="D55" s="1046"/>
      <c r="E55" s="1046"/>
      <c r="F55" s="1091"/>
      <c r="G55" s="1091"/>
      <c r="H55" s="1091"/>
      <c r="I55" s="1091"/>
      <c r="J55" s="1091"/>
      <c r="K55" s="1091"/>
      <c r="L55" s="1838"/>
      <c r="M55" s="279"/>
      <c r="N55" s="889"/>
      <c r="O55" s="889"/>
      <c r="P55" s="889"/>
      <c r="Q55" s="889"/>
      <c r="R55" s="279"/>
      <c r="S55" s="279"/>
      <c r="T55" s="279"/>
      <c r="U55" s="279"/>
      <c r="V55" s="279"/>
    </row>
    <row r="56" spans="1:22">
      <c r="A56" s="1838"/>
      <c r="B56" s="1838"/>
      <c r="C56" s="1062" t="s">
        <v>595</v>
      </c>
      <c r="E56" s="1046"/>
      <c r="F56" s="1091"/>
      <c r="G56" s="1091"/>
      <c r="H56" s="1091"/>
      <c r="I56" s="1091"/>
      <c r="J56" s="1091"/>
      <c r="K56" s="1091"/>
      <c r="L56" s="1838"/>
      <c r="M56" s="279"/>
      <c r="N56" s="889"/>
      <c r="O56" s="889"/>
      <c r="P56" s="889"/>
      <c r="Q56" s="889"/>
      <c r="R56" s="279"/>
      <c r="S56" s="279"/>
      <c r="T56" s="279"/>
      <c r="U56" s="279"/>
      <c r="V56" s="279"/>
    </row>
    <row r="57" spans="1:22" ht="12.75" customHeight="1">
      <c r="A57" s="279"/>
      <c r="B57" s="279"/>
      <c r="C57" s="279"/>
      <c r="D57" s="279"/>
      <c r="E57" s="279"/>
      <c r="F57" s="279"/>
      <c r="G57" s="279"/>
      <c r="H57" s="279"/>
      <c r="I57" s="279"/>
      <c r="J57" s="279"/>
      <c r="K57" s="279"/>
      <c r="L57" s="279"/>
      <c r="M57" s="279"/>
      <c r="N57" s="279"/>
      <c r="O57" s="279"/>
      <c r="P57" s="279"/>
      <c r="Q57" s="279"/>
      <c r="R57" s="279"/>
      <c r="S57" s="279"/>
      <c r="T57" s="279"/>
      <c r="U57" s="279"/>
      <c r="V57" s="279"/>
    </row>
    <row r="58" spans="1:22" ht="12.75" customHeight="1">
      <c r="A58" s="279"/>
      <c r="B58" s="279"/>
      <c r="C58" s="279"/>
      <c r="D58" s="279"/>
      <c r="E58" s="279"/>
      <c r="F58" s="279"/>
      <c r="G58" s="279"/>
      <c r="H58" s="279"/>
      <c r="I58" s="279"/>
      <c r="J58" s="279"/>
      <c r="K58" s="279"/>
      <c r="L58" s="279"/>
      <c r="M58" s="279"/>
      <c r="N58" s="279"/>
      <c r="O58" s="279"/>
      <c r="P58" s="279"/>
      <c r="Q58" s="279"/>
      <c r="R58" s="279"/>
      <c r="S58" s="279"/>
      <c r="T58" s="279"/>
      <c r="U58" s="279"/>
      <c r="V58" s="279"/>
    </row>
    <row r="59" spans="1:22" ht="12.75" customHeight="1">
      <c r="A59" s="279"/>
      <c r="B59" s="279"/>
      <c r="C59" s="279"/>
      <c r="D59" s="279"/>
      <c r="E59" s="279"/>
      <c r="F59" s="279"/>
      <c r="G59" s="279"/>
      <c r="H59" s="279"/>
      <c r="I59" s="279"/>
      <c r="J59" s="279"/>
      <c r="K59" s="279"/>
      <c r="L59" s="279"/>
      <c r="M59" s="279"/>
      <c r="N59" s="279"/>
      <c r="O59" s="279"/>
      <c r="P59" s="279"/>
      <c r="Q59" s="279"/>
      <c r="R59" s="279"/>
      <c r="S59" s="279"/>
      <c r="T59" s="279"/>
      <c r="U59" s="279"/>
      <c r="V59" s="279"/>
    </row>
    <row r="60" spans="1:22" ht="12.75" customHeight="1">
      <c r="A60" s="279"/>
      <c r="B60" s="279"/>
      <c r="C60" s="279"/>
      <c r="D60" s="279"/>
      <c r="E60" s="279"/>
      <c r="F60" s="279"/>
      <c r="G60" s="279"/>
      <c r="H60" s="279"/>
      <c r="I60" s="279"/>
      <c r="J60" s="279"/>
      <c r="K60" s="279"/>
      <c r="L60" s="279"/>
      <c r="M60" s="279"/>
      <c r="N60" s="279"/>
      <c r="O60" s="279"/>
      <c r="P60" s="279"/>
      <c r="Q60" s="279"/>
      <c r="R60" s="279"/>
      <c r="S60" s="279"/>
      <c r="T60" s="279"/>
      <c r="U60" s="279"/>
      <c r="V60" s="279"/>
    </row>
    <row r="61" spans="1:22" ht="12.75" customHeight="1">
      <c r="A61" s="279"/>
      <c r="B61" s="279"/>
      <c r="C61" s="279"/>
      <c r="D61" s="279"/>
      <c r="E61" s="279"/>
      <c r="F61" s="279"/>
      <c r="G61" s="279"/>
      <c r="H61" s="279"/>
      <c r="I61" s="279"/>
      <c r="J61" s="279"/>
      <c r="K61" s="279"/>
      <c r="L61" s="279"/>
      <c r="M61" s="279"/>
      <c r="N61" s="279"/>
      <c r="O61" s="279"/>
      <c r="P61" s="279"/>
      <c r="Q61" s="279"/>
      <c r="R61" s="279"/>
      <c r="S61" s="279"/>
      <c r="T61" s="279"/>
      <c r="U61" s="279"/>
      <c r="V61" s="279"/>
    </row>
    <row r="62" spans="1:22" ht="12.75" customHeight="1">
      <c r="A62" s="279"/>
      <c r="B62" s="279"/>
      <c r="C62" s="279"/>
      <c r="D62" s="279"/>
      <c r="E62" s="279"/>
      <c r="F62" s="279"/>
      <c r="G62" s="279"/>
      <c r="H62" s="279"/>
      <c r="I62" s="279"/>
      <c r="J62" s="279"/>
      <c r="K62" s="279"/>
      <c r="L62" s="279"/>
      <c r="M62" s="279"/>
      <c r="N62" s="279"/>
      <c r="O62" s="279"/>
      <c r="P62" s="279"/>
      <c r="Q62" s="279"/>
      <c r="R62" s="279"/>
      <c r="S62" s="279"/>
      <c r="T62" s="279"/>
      <c r="U62" s="279"/>
      <c r="V62" s="279"/>
    </row>
    <row r="63" spans="1:22" ht="12.75" customHeight="1">
      <c r="A63" s="279"/>
      <c r="B63" s="279"/>
      <c r="C63" s="279"/>
      <c r="D63" s="279"/>
      <c r="E63" s="279"/>
      <c r="F63" s="279"/>
      <c r="G63" s="279"/>
      <c r="H63" s="279"/>
      <c r="I63" s="279"/>
      <c r="J63" s="279"/>
      <c r="K63" s="279"/>
      <c r="L63" s="279"/>
      <c r="M63" s="279"/>
      <c r="N63" s="279"/>
      <c r="O63" s="279"/>
      <c r="P63" s="279"/>
      <c r="Q63" s="279"/>
      <c r="R63" s="279"/>
      <c r="S63" s="279"/>
      <c r="T63" s="279"/>
      <c r="U63" s="279"/>
      <c r="V63" s="279"/>
    </row>
    <row r="64" spans="1:22" ht="12.75" customHeight="1">
      <c r="A64" s="279"/>
      <c r="B64" s="279"/>
      <c r="C64" s="279"/>
      <c r="D64" s="279"/>
      <c r="E64" s="279"/>
      <c r="F64" s="279"/>
      <c r="G64" s="279"/>
      <c r="H64" s="279"/>
      <c r="I64" s="279"/>
      <c r="J64" s="279"/>
      <c r="K64" s="279"/>
      <c r="L64" s="279"/>
      <c r="M64" s="279"/>
      <c r="N64" s="279"/>
      <c r="O64" s="279"/>
      <c r="P64" s="279"/>
      <c r="Q64" s="279"/>
      <c r="R64" s="279"/>
      <c r="S64" s="279"/>
      <c r="T64" s="279"/>
      <c r="U64" s="279"/>
      <c r="V64" s="279"/>
    </row>
    <row r="65" spans="1:22" ht="12.75" customHeight="1">
      <c r="A65" s="279"/>
      <c r="B65" s="279"/>
      <c r="C65" s="279"/>
      <c r="D65" s="279"/>
      <c r="E65" s="279"/>
      <c r="F65" s="279"/>
      <c r="G65" s="279"/>
      <c r="H65" s="279"/>
      <c r="I65" s="279"/>
      <c r="J65" s="279"/>
      <c r="K65" s="279"/>
      <c r="L65" s="279"/>
      <c r="M65" s="279"/>
      <c r="N65" s="279"/>
      <c r="O65" s="279"/>
      <c r="P65" s="279"/>
      <c r="Q65" s="279"/>
      <c r="R65" s="279"/>
      <c r="S65" s="279"/>
      <c r="T65" s="279"/>
      <c r="U65" s="279"/>
      <c r="V65" s="279"/>
    </row>
    <row r="66" spans="1:22" ht="12.5">
      <c r="A66" s="279"/>
      <c r="B66" s="279"/>
      <c r="C66" s="279"/>
      <c r="D66" s="279"/>
      <c r="E66" s="279"/>
      <c r="F66" s="279"/>
      <c r="G66" s="279"/>
      <c r="H66" s="279"/>
      <c r="I66" s="279"/>
      <c r="J66" s="279"/>
      <c r="K66" s="279"/>
      <c r="L66" s="279"/>
      <c r="M66" s="279"/>
      <c r="N66" s="279"/>
      <c r="O66" s="279"/>
      <c r="P66" s="279"/>
      <c r="Q66" s="279"/>
      <c r="R66" s="279"/>
      <c r="S66" s="279"/>
      <c r="T66" s="279"/>
      <c r="U66" s="279"/>
      <c r="V66" s="279"/>
    </row>
    <row r="67" spans="1:22" ht="12.5">
      <c r="A67" s="279"/>
      <c r="B67" s="279"/>
      <c r="C67" s="279"/>
      <c r="D67" s="279"/>
      <c r="E67" s="279"/>
      <c r="F67" s="279"/>
      <c r="G67" s="279"/>
      <c r="H67" s="279"/>
      <c r="I67" s="279"/>
      <c r="J67" s="279"/>
      <c r="K67" s="279"/>
      <c r="L67" s="279"/>
      <c r="M67" s="279"/>
      <c r="N67" s="279"/>
      <c r="O67" s="279"/>
      <c r="P67" s="279"/>
      <c r="Q67" s="279"/>
      <c r="R67" s="279"/>
      <c r="S67" s="279"/>
      <c r="T67" s="279"/>
      <c r="U67" s="279"/>
      <c r="V67" s="279"/>
    </row>
    <row r="68" spans="1:22" ht="12.5">
      <c r="A68" s="279"/>
      <c r="B68" s="279"/>
      <c r="C68" s="279"/>
      <c r="D68" s="279"/>
      <c r="E68" s="279"/>
      <c r="F68" s="279"/>
      <c r="G68" s="279"/>
      <c r="H68" s="279"/>
      <c r="I68" s="279"/>
      <c r="J68" s="279"/>
      <c r="K68" s="279"/>
      <c r="L68" s="279"/>
      <c r="M68" s="279"/>
      <c r="N68" s="279"/>
      <c r="O68" s="279"/>
      <c r="P68" s="279"/>
      <c r="Q68" s="279"/>
      <c r="R68" s="279"/>
      <c r="S68" s="279"/>
      <c r="T68" s="279"/>
      <c r="U68" s="279"/>
      <c r="V68" s="279"/>
    </row>
    <row r="69" spans="1:22" ht="12.5">
      <c r="A69" s="279"/>
      <c r="B69" s="279"/>
      <c r="C69" s="279"/>
      <c r="D69" s="279"/>
      <c r="E69" s="279"/>
      <c r="F69" s="279"/>
      <c r="G69" s="279"/>
      <c r="H69" s="279"/>
      <c r="I69" s="279"/>
      <c r="J69" s="279"/>
      <c r="K69" s="279"/>
      <c r="L69" s="279"/>
      <c r="M69" s="279"/>
      <c r="N69" s="279"/>
      <c r="O69" s="279"/>
      <c r="P69" s="279"/>
      <c r="Q69" s="279"/>
      <c r="R69" s="279"/>
      <c r="S69" s="279"/>
      <c r="T69" s="279"/>
      <c r="U69" s="279"/>
      <c r="V69" s="279"/>
    </row>
    <row r="70" spans="1:22" ht="12.5">
      <c r="A70" s="279"/>
      <c r="B70" s="279"/>
      <c r="C70" s="279"/>
      <c r="D70" s="279"/>
      <c r="E70" s="279"/>
      <c r="F70" s="279"/>
      <c r="G70" s="279"/>
      <c r="H70" s="279"/>
      <c r="I70" s="279"/>
      <c r="J70" s="279"/>
      <c r="K70" s="279"/>
      <c r="L70" s="279"/>
      <c r="M70" s="279"/>
      <c r="N70" s="279"/>
      <c r="O70" s="279"/>
      <c r="P70" s="279"/>
      <c r="Q70" s="279"/>
      <c r="R70" s="279"/>
      <c r="S70" s="279"/>
      <c r="T70" s="279"/>
      <c r="U70" s="279"/>
      <c r="V70" s="279"/>
    </row>
    <row r="71" spans="1:22" ht="12.5">
      <c r="A71" s="279"/>
      <c r="B71" s="279"/>
      <c r="C71" s="279"/>
      <c r="D71" s="279"/>
      <c r="E71" s="279"/>
      <c r="F71" s="279"/>
      <c r="G71" s="279"/>
      <c r="H71" s="279"/>
      <c r="I71" s="279"/>
      <c r="J71" s="279"/>
      <c r="K71" s="279"/>
      <c r="L71" s="279"/>
      <c r="M71" s="279"/>
      <c r="N71" s="279"/>
      <c r="O71" s="279"/>
      <c r="P71" s="279"/>
      <c r="Q71" s="279"/>
      <c r="R71" s="279"/>
      <c r="S71" s="279"/>
      <c r="T71" s="279"/>
      <c r="U71" s="279"/>
      <c r="V71" s="279"/>
    </row>
    <row r="72" spans="1:22" ht="12.5">
      <c r="A72" s="279"/>
      <c r="B72" s="279"/>
      <c r="C72" s="279"/>
      <c r="D72" s="279"/>
      <c r="E72" s="279"/>
      <c r="F72" s="279"/>
      <c r="G72" s="279"/>
      <c r="H72" s="279"/>
      <c r="I72" s="279"/>
      <c r="J72" s="279"/>
      <c r="K72" s="279"/>
      <c r="L72" s="279"/>
      <c r="M72" s="279"/>
      <c r="N72" s="279"/>
      <c r="O72" s="279"/>
      <c r="P72" s="279"/>
      <c r="Q72" s="279"/>
      <c r="R72" s="279"/>
      <c r="S72" s="279"/>
      <c r="T72" s="279"/>
      <c r="U72" s="279"/>
      <c r="V72" s="279"/>
    </row>
    <row r="73" spans="1:22" ht="12.5">
      <c r="A73" s="279"/>
      <c r="B73" s="279"/>
      <c r="C73" s="279"/>
      <c r="D73" s="279"/>
      <c r="E73" s="279"/>
      <c r="F73" s="279"/>
      <c r="G73" s="279"/>
      <c r="H73" s="279"/>
      <c r="I73" s="279"/>
      <c r="J73" s="279"/>
      <c r="K73" s="279"/>
      <c r="L73" s="279"/>
      <c r="M73" s="279"/>
      <c r="N73" s="279"/>
      <c r="O73" s="279"/>
      <c r="P73" s="279"/>
      <c r="Q73" s="279"/>
      <c r="R73" s="279"/>
      <c r="S73" s="279"/>
      <c r="T73" s="279"/>
      <c r="U73" s="279"/>
      <c r="V73" s="279"/>
    </row>
    <row r="74" spans="1:22" ht="12.5">
      <c r="A74" s="279"/>
      <c r="B74" s="279"/>
      <c r="C74" s="279"/>
      <c r="D74" s="279"/>
      <c r="E74" s="279"/>
      <c r="F74" s="279"/>
      <c r="G74" s="279"/>
      <c r="H74" s="279"/>
      <c r="I74" s="279"/>
      <c r="J74" s="279"/>
      <c r="K74" s="279"/>
      <c r="L74" s="279"/>
      <c r="M74" s="279"/>
      <c r="N74" s="279"/>
      <c r="O74" s="279"/>
      <c r="P74" s="279"/>
      <c r="Q74" s="279"/>
      <c r="R74" s="279"/>
      <c r="S74" s="279"/>
      <c r="T74" s="279"/>
      <c r="U74" s="279"/>
      <c r="V74" s="279"/>
    </row>
    <row r="75" spans="1:22" ht="12.5">
      <c r="A75" s="279"/>
      <c r="B75" s="279"/>
      <c r="C75" s="279"/>
      <c r="D75" s="279"/>
      <c r="E75" s="279"/>
      <c r="F75" s="279"/>
      <c r="G75" s="279"/>
      <c r="H75" s="279"/>
      <c r="I75" s="279"/>
      <c r="J75" s="279"/>
      <c r="K75" s="279"/>
      <c r="L75" s="279"/>
      <c r="M75" s="279"/>
      <c r="N75" s="279"/>
      <c r="O75" s="279"/>
      <c r="P75" s="279"/>
      <c r="Q75" s="279"/>
      <c r="R75" s="279"/>
      <c r="S75" s="279"/>
      <c r="T75" s="279"/>
      <c r="U75" s="279"/>
      <c r="V75" s="279"/>
    </row>
    <row r="76" spans="1:22" ht="12.5">
      <c r="A76" s="279"/>
      <c r="B76" s="279"/>
      <c r="C76" s="279"/>
      <c r="D76" s="279"/>
      <c r="E76" s="279"/>
      <c r="F76" s="279"/>
      <c r="G76" s="279"/>
      <c r="H76" s="279"/>
      <c r="I76" s="279"/>
      <c r="J76" s="279"/>
      <c r="K76" s="279"/>
      <c r="L76" s="279"/>
      <c r="M76" s="279"/>
      <c r="N76" s="279"/>
      <c r="O76" s="279"/>
      <c r="P76" s="279"/>
      <c r="Q76" s="279"/>
      <c r="R76" s="279"/>
      <c r="S76" s="279"/>
      <c r="T76" s="279"/>
      <c r="U76" s="279"/>
      <c r="V76" s="279"/>
    </row>
    <row r="77" spans="1:22" ht="12.5">
      <c r="A77" s="279"/>
      <c r="B77" s="279"/>
      <c r="C77" s="279"/>
      <c r="D77" s="279"/>
      <c r="E77" s="279"/>
      <c r="F77" s="279"/>
      <c r="G77" s="279"/>
      <c r="H77" s="279"/>
      <c r="I77" s="279"/>
      <c r="J77" s="279"/>
      <c r="K77" s="279"/>
      <c r="L77" s="279"/>
      <c r="M77" s="279"/>
      <c r="N77" s="279"/>
      <c r="O77" s="279"/>
      <c r="P77" s="279"/>
      <c r="Q77" s="279"/>
      <c r="R77" s="279"/>
      <c r="S77" s="279"/>
      <c r="T77" s="279"/>
      <c r="U77" s="279"/>
      <c r="V77" s="279"/>
    </row>
    <row r="78" spans="1:22" ht="12.5">
      <c r="A78" s="279"/>
      <c r="B78" s="279"/>
      <c r="C78" s="279"/>
      <c r="D78" s="279"/>
      <c r="E78" s="279"/>
      <c r="F78" s="279"/>
      <c r="G78" s="279"/>
      <c r="H78" s="279"/>
      <c r="I78" s="279"/>
      <c r="J78" s="279"/>
      <c r="K78" s="279"/>
      <c r="L78" s="279"/>
      <c r="M78" s="279"/>
      <c r="N78" s="279"/>
      <c r="O78" s="279"/>
      <c r="P78" s="279"/>
      <c r="Q78" s="279"/>
      <c r="R78" s="279"/>
      <c r="S78" s="279"/>
      <c r="T78" s="279"/>
      <c r="U78" s="279"/>
      <c r="V78" s="279"/>
    </row>
    <row r="79" spans="1:22" ht="12.5">
      <c r="A79" s="279"/>
      <c r="B79" s="279"/>
      <c r="C79" s="279"/>
      <c r="D79" s="279"/>
      <c r="E79" s="279"/>
      <c r="F79" s="279"/>
      <c r="G79" s="279"/>
      <c r="H79" s="279"/>
      <c r="I79" s="279"/>
      <c r="J79" s="279"/>
      <c r="K79" s="279"/>
      <c r="L79" s="279"/>
      <c r="M79" s="279"/>
      <c r="N79" s="279"/>
      <c r="O79" s="279"/>
      <c r="P79" s="279"/>
      <c r="Q79" s="279"/>
      <c r="R79" s="279"/>
      <c r="S79" s="279"/>
      <c r="T79" s="279"/>
      <c r="U79" s="279"/>
      <c r="V79" s="279"/>
    </row>
    <row r="80" spans="1:22" ht="12.5">
      <c r="A80" s="279"/>
      <c r="B80" s="279"/>
      <c r="C80" s="279"/>
      <c r="D80" s="279"/>
      <c r="E80" s="279"/>
      <c r="F80" s="279"/>
      <c r="G80" s="279"/>
      <c r="H80" s="279"/>
      <c r="I80" s="279"/>
      <c r="J80" s="279"/>
      <c r="K80" s="279"/>
      <c r="L80" s="279"/>
      <c r="M80" s="279"/>
      <c r="N80" s="279"/>
      <c r="O80" s="279"/>
      <c r="P80" s="279"/>
      <c r="Q80" s="279"/>
      <c r="R80" s="279"/>
      <c r="S80" s="279"/>
      <c r="T80" s="279"/>
      <c r="U80" s="279"/>
      <c r="V80" s="279"/>
    </row>
    <row r="81" spans="1:22" ht="12.5">
      <c r="A81" s="279"/>
      <c r="B81" s="279"/>
      <c r="C81" s="279"/>
      <c r="D81" s="279"/>
      <c r="E81" s="279"/>
      <c r="F81" s="279"/>
      <c r="G81" s="279"/>
      <c r="H81" s="279"/>
      <c r="I81" s="279"/>
      <c r="J81" s="279"/>
      <c r="K81" s="279"/>
      <c r="L81" s="279"/>
      <c r="M81" s="279"/>
      <c r="N81" s="279"/>
      <c r="O81" s="279"/>
      <c r="P81" s="279"/>
      <c r="Q81" s="279"/>
      <c r="R81" s="279"/>
      <c r="S81" s="279"/>
      <c r="T81" s="279"/>
      <c r="U81" s="279"/>
      <c r="V81" s="279"/>
    </row>
    <row r="82" spans="1:22" ht="12.5">
      <c r="A82" s="279"/>
      <c r="B82" s="279"/>
      <c r="C82" s="279"/>
      <c r="D82" s="279"/>
      <c r="E82" s="279"/>
      <c r="F82" s="279"/>
      <c r="G82" s="279"/>
      <c r="H82" s="279"/>
      <c r="I82" s="279"/>
      <c r="J82" s="279"/>
      <c r="K82" s="279"/>
      <c r="L82" s="279"/>
      <c r="M82" s="279"/>
      <c r="N82" s="279"/>
      <c r="O82" s="279"/>
      <c r="P82" s="279"/>
      <c r="Q82" s="279"/>
      <c r="R82" s="279"/>
      <c r="S82" s="279"/>
      <c r="T82" s="279"/>
      <c r="U82" s="279"/>
      <c r="V82" s="279"/>
    </row>
    <row r="83" spans="1:22" ht="12.5">
      <c r="A83" s="279"/>
      <c r="B83" s="279"/>
      <c r="C83" s="279"/>
      <c r="D83" s="279"/>
      <c r="E83" s="279"/>
      <c r="F83" s="279"/>
      <c r="G83" s="279"/>
      <c r="H83" s="279"/>
      <c r="I83" s="279"/>
      <c r="J83" s="279"/>
      <c r="K83" s="279"/>
      <c r="L83" s="279"/>
      <c r="M83" s="279"/>
      <c r="N83" s="279"/>
      <c r="O83" s="279"/>
      <c r="P83" s="279"/>
      <c r="Q83" s="279"/>
      <c r="R83" s="279"/>
      <c r="S83" s="279"/>
      <c r="T83" s="279"/>
      <c r="U83" s="279"/>
      <c r="V83" s="279"/>
    </row>
    <row r="84" spans="1:22" ht="12.5">
      <c r="A84" s="279"/>
      <c r="B84" s="279"/>
      <c r="C84" s="279"/>
      <c r="D84" s="279"/>
      <c r="E84" s="279"/>
      <c r="F84" s="279"/>
      <c r="G84" s="279"/>
      <c r="H84" s="279"/>
      <c r="I84" s="279"/>
      <c r="J84" s="279"/>
      <c r="K84" s="279"/>
      <c r="L84" s="279"/>
      <c r="M84" s="279"/>
      <c r="N84" s="279"/>
      <c r="O84" s="279"/>
      <c r="P84" s="279"/>
      <c r="Q84" s="279"/>
      <c r="R84" s="279"/>
      <c r="S84" s="279"/>
      <c r="T84" s="279"/>
      <c r="U84" s="279"/>
      <c r="V84" s="279"/>
    </row>
    <row r="85" spans="1:22" ht="12.5">
      <c r="A85" s="279"/>
      <c r="B85" s="279"/>
      <c r="C85" s="279"/>
      <c r="D85" s="279"/>
      <c r="E85" s="279"/>
      <c r="F85" s="279"/>
      <c r="G85" s="279"/>
      <c r="H85" s="279"/>
      <c r="I85" s="279"/>
      <c r="J85" s="279"/>
      <c r="K85" s="279"/>
      <c r="L85" s="279"/>
      <c r="M85" s="279"/>
      <c r="N85" s="279"/>
      <c r="O85" s="279"/>
      <c r="P85" s="279"/>
      <c r="Q85" s="279"/>
      <c r="R85" s="279"/>
      <c r="S85" s="279"/>
      <c r="T85" s="279"/>
      <c r="U85" s="279"/>
      <c r="V85" s="279"/>
    </row>
    <row r="86" spans="1:22" ht="12.75" customHeight="1">
      <c r="A86" s="279"/>
      <c r="B86" s="279"/>
      <c r="C86" s="279"/>
      <c r="D86" s="279"/>
      <c r="E86" s="279"/>
      <c r="F86" s="279"/>
      <c r="G86" s="279"/>
      <c r="H86" s="279"/>
      <c r="I86" s="279"/>
      <c r="J86" s="279"/>
      <c r="K86" s="279"/>
      <c r="L86" s="279"/>
      <c r="M86" s="279"/>
      <c r="N86" s="279"/>
      <c r="O86" s="279"/>
      <c r="P86" s="279"/>
      <c r="Q86" s="279"/>
      <c r="R86" s="279"/>
      <c r="S86" s="279"/>
      <c r="T86" s="279"/>
      <c r="U86" s="279"/>
      <c r="V86" s="279"/>
    </row>
    <row r="87" spans="1:22" ht="12.75" customHeight="1">
      <c r="A87" s="279"/>
      <c r="B87" s="279"/>
      <c r="C87" s="279"/>
      <c r="D87" s="279"/>
      <c r="E87" s="279"/>
      <c r="F87" s="279"/>
      <c r="G87" s="279"/>
      <c r="H87" s="279"/>
      <c r="I87" s="279"/>
      <c r="J87" s="279"/>
      <c r="K87" s="279"/>
      <c r="L87" s="279"/>
      <c r="M87" s="279"/>
      <c r="N87" s="279"/>
      <c r="O87" s="279"/>
      <c r="P87" s="279"/>
      <c r="Q87" s="279"/>
      <c r="R87" s="279"/>
      <c r="S87" s="279"/>
      <c r="T87" s="279"/>
      <c r="U87" s="279"/>
      <c r="V87" s="279"/>
    </row>
    <row r="88" spans="1:22" ht="12.75" customHeight="1">
      <c r="A88" s="279"/>
      <c r="B88" s="279"/>
      <c r="C88" s="279"/>
      <c r="D88" s="279"/>
      <c r="E88" s="279"/>
      <c r="F88" s="279"/>
      <c r="G88" s="279"/>
      <c r="H88" s="279"/>
      <c r="I88" s="279"/>
      <c r="J88" s="279"/>
      <c r="K88" s="279"/>
      <c r="L88" s="279"/>
      <c r="M88" s="279"/>
      <c r="N88" s="279"/>
      <c r="O88" s="279"/>
      <c r="P88" s="279"/>
      <c r="Q88" s="279"/>
      <c r="R88" s="279"/>
      <c r="S88" s="279"/>
      <c r="T88" s="279"/>
      <c r="U88" s="279"/>
      <c r="V88" s="279"/>
    </row>
    <row r="89" spans="1:22" ht="12.5">
      <c r="A89" s="279"/>
      <c r="B89" s="279"/>
      <c r="C89" s="279"/>
      <c r="D89" s="279"/>
      <c r="E89" s="279"/>
      <c r="F89" s="279"/>
      <c r="G89" s="279"/>
      <c r="H89" s="279"/>
      <c r="I89" s="279"/>
      <c r="J89" s="279"/>
      <c r="K89" s="279"/>
      <c r="L89" s="279"/>
      <c r="M89" s="279"/>
      <c r="N89" s="279"/>
      <c r="O89" s="279"/>
      <c r="P89" s="279"/>
      <c r="Q89" s="279"/>
      <c r="R89" s="279"/>
      <c r="S89" s="279"/>
      <c r="T89" s="279"/>
      <c r="U89" s="279"/>
      <c r="V89" s="279"/>
    </row>
    <row r="90" spans="1:22" ht="12.5">
      <c r="A90" s="279"/>
      <c r="B90" s="279"/>
      <c r="C90" s="279"/>
      <c r="D90" s="279"/>
      <c r="E90" s="279"/>
      <c r="F90" s="279"/>
      <c r="G90" s="279"/>
      <c r="H90" s="279"/>
      <c r="I90" s="279"/>
      <c r="J90" s="279"/>
      <c r="K90" s="279"/>
      <c r="L90" s="279"/>
      <c r="M90" s="279"/>
      <c r="N90" s="279"/>
      <c r="O90" s="279"/>
      <c r="P90" s="279"/>
      <c r="Q90" s="279"/>
      <c r="R90" s="279"/>
      <c r="S90" s="279"/>
      <c r="T90" s="279"/>
      <c r="U90" s="279"/>
      <c r="V90" s="279"/>
    </row>
    <row r="91" spans="1:22" ht="12.5">
      <c r="A91" s="279"/>
      <c r="B91" s="279"/>
      <c r="C91" s="279"/>
      <c r="D91" s="279"/>
      <c r="E91" s="279"/>
      <c r="F91" s="279"/>
      <c r="G91" s="279"/>
      <c r="H91" s="279"/>
      <c r="I91" s="279"/>
      <c r="J91" s="279"/>
      <c r="K91" s="279"/>
      <c r="L91" s="279"/>
      <c r="M91" s="279"/>
      <c r="N91" s="279"/>
      <c r="O91" s="279"/>
      <c r="P91" s="279"/>
      <c r="Q91" s="279"/>
      <c r="R91" s="279"/>
      <c r="S91" s="279"/>
      <c r="T91" s="279"/>
      <c r="U91" s="279"/>
      <c r="V91" s="279"/>
    </row>
    <row r="92" spans="1:22" ht="12.5">
      <c r="A92" s="279"/>
      <c r="B92" s="279"/>
      <c r="C92" s="279"/>
      <c r="D92" s="279"/>
      <c r="E92" s="279"/>
      <c r="F92" s="279"/>
      <c r="G92" s="279"/>
      <c r="H92" s="279"/>
      <c r="I92" s="279"/>
      <c r="J92" s="279"/>
      <c r="K92" s="279"/>
      <c r="L92" s="279"/>
      <c r="M92" s="279"/>
      <c r="N92" s="279"/>
      <c r="O92" s="279"/>
      <c r="P92" s="279"/>
      <c r="Q92" s="279"/>
      <c r="R92" s="279"/>
      <c r="S92" s="279"/>
      <c r="T92" s="279"/>
      <c r="U92" s="279"/>
      <c r="V92" s="279"/>
    </row>
    <row r="93" spans="1:22" ht="12.5">
      <c r="A93" s="279"/>
      <c r="B93" s="279"/>
      <c r="C93" s="279"/>
      <c r="D93" s="279"/>
      <c r="E93" s="279"/>
      <c r="F93" s="279"/>
      <c r="G93" s="279"/>
      <c r="H93" s="279"/>
      <c r="I93" s="279"/>
      <c r="J93" s="279"/>
      <c r="K93" s="279"/>
      <c r="L93" s="279"/>
      <c r="M93" s="279"/>
      <c r="N93" s="279"/>
      <c r="O93" s="279"/>
      <c r="P93" s="279"/>
      <c r="Q93" s="279"/>
      <c r="R93" s="279"/>
      <c r="S93" s="279"/>
      <c r="T93" s="279"/>
      <c r="U93" s="279"/>
      <c r="V93" s="279"/>
    </row>
    <row r="94" spans="1:22" ht="12.5">
      <c r="A94" s="279"/>
      <c r="B94" s="279"/>
      <c r="C94" s="279"/>
      <c r="D94" s="279"/>
      <c r="E94" s="279"/>
      <c r="F94" s="279"/>
      <c r="G94" s="279"/>
      <c r="H94" s="279"/>
      <c r="I94" s="279"/>
      <c r="J94" s="279"/>
      <c r="K94" s="279"/>
      <c r="L94" s="279"/>
      <c r="M94" s="279"/>
      <c r="N94" s="279"/>
      <c r="O94" s="279"/>
      <c r="P94" s="279"/>
      <c r="Q94" s="279"/>
      <c r="R94" s="279"/>
      <c r="S94" s="279"/>
      <c r="T94" s="279"/>
      <c r="U94" s="279"/>
      <c r="V94" s="279"/>
    </row>
    <row r="95" spans="1:22" ht="12.5">
      <c r="A95" s="279"/>
      <c r="B95" s="279"/>
      <c r="C95" s="279"/>
      <c r="D95" s="279"/>
      <c r="E95" s="279"/>
      <c r="F95" s="279"/>
      <c r="G95" s="279"/>
      <c r="H95" s="279"/>
      <c r="I95" s="279"/>
      <c r="J95" s="279"/>
      <c r="K95" s="279"/>
      <c r="L95" s="279"/>
      <c r="M95" s="279"/>
      <c r="N95" s="279"/>
      <c r="O95" s="279"/>
      <c r="P95" s="279"/>
      <c r="Q95" s="279"/>
      <c r="R95" s="279"/>
      <c r="S95" s="279"/>
      <c r="T95" s="279"/>
      <c r="U95" s="279"/>
      <c r="V95" s="279"/>
    </row>
    <row r="96" spans="1:22" ht="12.5">
      <c r="A96" s="279"/>
      <c r="B96" s="279"/>
      <c r="C96" s="279"/>
      <c r="D96" s="279"/>
      <c r="E96" s="279"/>
      <c r="F96" s="279"/>
      <c r="G96" s="279"/>
      <c r="H96" s="279"/>
      <c r="I96" s="279"/>
      <c r="J96" s="279"/>
      <c r="K96" s="279"/>
      <c r="L96" s="279"/>
      <c r="M96" s="279"/>
      <c r="N96" s="279"/>
      <c r="O96" s="279"/>
      <c r="P96" s="279"/>
      <c r="Q96" s="279"/>
      <c r="R96" s="279"/>
      <c r="S96" s="279"/>
      <c r="T96" s="279"/>
      <c r="U96" s="279"/>
      <c r="V96" s="279"/>
    </row>
    <row r="97" spans="1:22" ht="12.5">
      <c r="A97" s="279"/>
      <c r="B97" s="279"/>
      <c r="C97" s="279"/>
      <c r="D97" s="279"/>
      <c r="E97" s="279"/>
      <c r="F97" s="279"/>
      <c r="G97" s="279"/>
      <c r="H97" s="279"/>
      <c r="I97" s="279"/>
      <c r="J97" s="279"/>
      <c r="K97" s="279"/>
      <c r="L97" s="279"/>
      <c r="M97" s="279"/>
      <c r="N97" s="279"/>
      <c r="O97" s="279"/>
      <c r="P97" s="279"/>
      <c r="Q97" s="279"/>
      <c r="R97" s="279"/>
      <c r="S97" s="279"/>
      <c r="T97" s="279"/>
      <c r="U97" s="279"/>
      <c r="V97" s="279"/>
    </row>
    <row r="98" spans="1:22" ht="12.5">
      <c r="A98" s="279"/>
      <c r="B98" s="279"/>
      <c r="C98" s="279"/>
      <c r="D98" s="279"/>
      <c r="E98" s="279"/>
      <c r="F98" s="279"/>
      <c r="G98" s="279"/>
      <c r="H98" s="279"/>
      <c r="I98" s="279"/>
      <c r="J98" s="279"/>
      <c r="K98" s="279"/>
      <c r="L98" s="279"/>
      <c r="M98" s="279"/>
      <c r="N98" s="279"/>
      <c r="O98" s="279"/>
      <c r="P98" s="279"/>
      <c r="Q98" s="279"/>
      <c r="R98" s="279"/>
      <c r="S98" s="279"/>
      <c r="T98" s="279"/>
      <c r="U98" s="279"/>
      <c r="V98" s="279"/>
    </row>
    <row r="99" spans="1:22" ht="12.5">
      <c r="A99" s="279"/>
      <c r="B99" s="279"/>
      <c r="C99" s="279"/>
      <c r="D99" s="279"/>
      <c r="E99" s="279"/>
      <c r="F99" s="279"/>
      <c r="G99" s="279"/>
      <c r="H99" s="279"/>
      <c r="I99" s="279"/>
      <c r="J99" s="279"/>
      <c r="K99" s="279"/>
      <c r="L99" s="279"/>
      <c r="M99" s="279"/>
      <c r="N99" s="279"/>
      <c r="O99" s="279"/>
      <c r="P99" s="279"/>
      <c r="Q99" s="279"/>
      <c r="R99" s="279"/>
      <c r="S99" s="279"/>
      <c r="T99" s="279"/>
      <c r="U99" s="279"/>
      <c r="V99" s="279"/>
    </row>
  </sheetData>
  <mergeCells count="6">
    <mergeCell ref="C50:J50"/>
    <mergeCell ref="A3:N3"/>
    <mergeCell ref="A4:N4"/>
    <mergeCell ref="A5:N5"/>
    <mergeCell ref="A6:N6"/>
    <mergeCell ref="C48:J48"/>
  </mergeCells>
  <printOptions horizontalCentered="1"/>
  <pageMargins left="0.25" right="0.25" top="1" bottom="0.25" header="0.67" footer="0.5"/>
  <pageSetup scale="50" orientation="portrait" horizontalDpi="1200" verticalDpi="1200" r:id="rId1"/>
  <headerFooter alignWithMargins="0">
    <oddHeader xml:space="preserve">&amp;R&amp;12AEP - SPP Transco Formula Rate
TCOS - WS H
Page: &amp;P of &amp;N&amp;10
</oddHeader>
    <oddFooter xml:space="preserve">&amp;C &amp;R </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zoomScale="81" zoomScaleNormal="81" zoomScaleSheetLayoutView="100" zoomScalePageLayoutView="81" workbookViewId="0">
      <selection activeCell="G29" sqref="G29"/>
    </sheetView>
  </sheetViews>
  <sheetFormatPr defaultColWidth="9.1796875" defaultRowHeight="12.5"/>
  <cols>
    <col min="1" max="1" width="3.54296875" style="326" customWidth="1"/>
    <col min="2" max="2" width="7.26953125" style="326" customWidth="1"/>
    <col min="3" max="3" width="2.453125" style="326" customWidth="1"/>
    <col min="4" max="4" width="29.453125" style="326" customWidth="1"/>
    <col min="5" max="5" width="26.453125" style="326" customWidth="1"/>
    <col min="6" max="6" width="24.1796875" style="326" bestFit="1" customWidth="1"/>
    <col min="7" max="7" width="22.81640625" style="326" customWidth="1"/>
    <col min="8" max="8" width="7.453125" style="326" customWidth="1"/>
    <col min="9" max="16384" width="9.1796875" style="326"/>
  </cols>
  <sheetData>
    <row r="1" spans="1:11" ht="15.5">
      <c r="A1" s="551"/>
    </row>
    <row r="2" spans="1:11" ht="19.5" customHeight="1">
      <c r="A2" s="1996" t="str">
        <f>+'SWT TCOS'!F4</f>
        <v xml:space="preserve">AEP West SPP Member Transmission Companies </v>
      </c>
      <c r="B2" s="1996"/>
      <c r="C2" s="1996"/>
      <c r="D2" s="1996"/>
      <c r="E2" s="1996"/>
      <c r="F2" s="1996"/>
      <c r="G2" s="1996"/>
      <c r="H2" s="1996"/>
      <c r="I2" s="278"/>
      <c r="J2" s="278"/>
      <c r="K2" s="278"/>
    </row>
    <row r="3" spans="1:11" ht="15.5">
      <c r="A3" s="2086" t="str">
        <f>+'SWT WS A-1 - Plant'!A3</f>
        <v xml:space="preserve">Actual / Projected 2019 Rate Year Cost of Service Formula Rate </v>
      </c>
      <c r="B3" s="2086"/>
      <c r="C3" s="2086"/>
      <c r="D3" s="2086"/>
      <c r="E3" s="2086"/>
      <c r="F3" s="2086"/>
      <c r="G3" s="2086"/>
      <c r="H3" s="2086"/>
      <c r="I3" s="1440"/>
      <c r="J3" s="1440"/>
      <c r="K3" s="1440"/>
    </row>
    <row r="4" spans="1:11" ht="15.5">
      <c r="A4" s="2087" t="s">
        <v>113</v>
      </c>
      <c r="B4" s="2086"/>
      <c r="C4" s="2086"/>
      <c r="D4" s="2086"/>
      <c r="E4" s="2086"/>
      <c r="F4" s="2086"/>
      <c r="G4" s="2086"/>
      <c r="H4" s="2086"/>
      <c r="I4" s="1440"/>
      <c r="J4" s="1440"/>
      <c r="K4" s="1440"/>
    </row>
    <row r="5" spans="1:11" ht="15.5">
      <c r="A5" s="2025" t="str">
        <f>+'SWT TCOS'!F8</f>
        <v>AEP SOUTHWESTERN TRANSMISSION COMPANY</v>
      </c>
      <c r="B5" s="2025"/>
      <c r="C5" s="2025"/>
      <c r="D5" s="2025"/>
      <c r="E5" s="2025"/>
      <c r="F5" s="2025"/>
      <c r="G5" s="2025"/>
      <c r="H5" s="2025"/>
      <c r="I5" s="1093"/>
      <c r="J5" s="1093"/>
      <c r="K5" s="1093"/>
    </row>
    <row r="6" spans="1:11" ht="15.5">
      <c r="D6" s="279"/>
      <c r="G6" s="1094"/>
      <c r="H6" s="278"/>
      <c r="I6" s="278"/>
    </row>
    <row r="7" spans="1:11" ht="54" customHeight="1">
      <c r="A7" s="1095"/>
      <c r="B7" s="2100" t="s">
        <v>643</v>
      </c>
      <c r="C7" s="2100"/>
      <c r="D7" s="2100"/>
      <c r="E7" s="2100"/>
      <c r="F7" s="2100"/>
      <c r="G7" s="2100"/>
      <c r="H7" s="1095"/>
      <c r="I7" s="278"/>
    </row>
    <row r="8" spans="1:11" ht="18">
      <c r="A8" s="943"/>
      <c r="B8" s="943"/>
      <c r="C8" s="943"/>
      <c r="D8" s="943"/>
      <c r="E8" s="943"/>
      <c r="F8" s="943"/>
      <c r="G8" s="943"/>
      <c r="H8" s="943"/>
      <c r="I8" s="278"/>
    </row>
    <row r="9" spans="1:11" ht="18">
      <c r="A9" s="943"/>
      <c r="B9" s="943"/>
      <c r="C9" s="943"/>
      <c r="D9" s="943"/>
      <c r="E9" s="943"/>
      <c r="F9" s="943"/>
      <c r="G9" s="943"/>
      <c r="H9" s="943"/>
      <c r="I9" s="278"/>
    </row>
    <row r="10" spans="1:11" ht="18">
      <c r="A10" s="943"/>
      <c r="B10" s="732" t="s">
        <v>307</v>
      </c>
      <c r="D10" s="2044" t="s">
        <v>300</v>
      </c>
      <c r="E10" s="2044"/>
      <c r="G10" s="557" t="s">
        <v>301</v>
      </c>
      <c r="H10" s="943"/>
      <c r="I10" s="278"/>
    </row>
    <row r="11" spans="1:11" ht="18">
      <c r="A11" s="943"/>
      <c r="B11" s="732" t="s">
        <v>245</v>
      </c>
      <c r="D11" s="2043" t="s">
        <v>305</v>
      </c>
      <c r="E11" s="2043"/>
      <c r="G11" s="732">
        <f>+'SWT TCOS'!N2</f>
        <v>2019</v>
      </c>
      <c r="H11" s="943"/>
      <c r="I11" s="278"/>
    </row>
    <row r="12" spans="1:11" ht="15.5">
      <c r="B12" s="1383">
        <v>1</v>
      </c>
      <c r="C12" s="1097"/>
      <c r="H12" s="278"/>
      <c r="I12" s="278"/>
    </row>
    <row r="13" spans="1:11" ht="15.5">
      <c r="B13" s="1383">
        <f t="shared" ref="B13:B20" si="0">B12+1</f>
        <v>2</v>
      </c>
      <c r="D13" s="1499"/>
      <c r="E13" s="1098"/>
      <c r="G13" s="1006"/>
      <c r="H13" s="278"/>
      <c r="I13" s="278"/>
    </row>
    <row r="14" spans="1:11" ht="15.5">
      <c r="B14" s="1383">
        <f t="shared" si="0"/>
        <v>3</v>
      </c>
      <c r="D14" s="1499"/>
      <c r="E14" s="1098"/>
      <c r="G14" s="1006"/>
      <c r="H14" s="278"/>
      <c r="I14" s="278"/>
    </row>
    <row r="15" spans="1:11" ht="15.5">
      <c r="B15" s="1383">
        <f t="shared" si="0"/>
        <v>4</v>
      </c>
      <c r="D15" s="1499"/>
      <c r="E15" s="1098"/>
      <c r="G15" s="1006"/>
      <c r="H15" s="278"/>
      <c r="I15" s="278"/>
    </row>
    <row r="16" spans="1:11" ht="15.5">
      <c r="B16" s="1383">
        <f t="shared" si="0"/>
        <v>5</v>
      </c>
      <c r="D16" s="1499"/>
      <c r="E16" s="1098"/>
      <c r="G16" s="1006"/>
      <c r="H16" s="278"/>
      <c r="I16" s="278"/>
    </row>
    <row r="17" spans="2:9" ht="15.5">
      <c r="B17" s="1383">
        <f t="shared" si="0"/>
        <v>6</v>
      </c>
      <c r="D17" s="1499"/>
      <c r="E17" s="1098"/>
      <c r="G17" s="1006"/>
      <c r="H17" s="278"/>
      <c r="I17" s="278"/>
    </row>
    <row r="18" spans="2:9" ht="15.5">
      <c r="B18" s="1383">
        <f t="shared" si="0"/>
        <v>7</v>
      </c>
      <c r="D18" s="1499"/>
      <c r="E18" s="1098"/>
      <c r="G18" s="1006"/>
      <c r="H18" s="278"/>
      <c r="I18" s="278"/>
    </row>
    <row r="19" spans="2:9" ht="15.5">
      <c r="B19" s="1383">
        <f t="shared" si="0"/>
        <v>8</v>
      </c>
      <c r="D19" s="1499"/>
      <c r="E19" s="1098"/>
      <c r="G19" s="1006"/>
      <c r="H19" s="278"/>
      <c r="I19" s="278"/>
    </row>
    <row r="20" spans="2:9" ht="15.5">
      <c r="B20" s="1383">
        <f t="shared" si="0"/>
        <v>9</v>
      </c>
      <c r="D20" s="1499"/>
      <c r="E20" s="1098"/>
      <c r="G20" s="1006"/>
      <c r="H20" s="278"/>
      <c r="I20" s="278"/>
    </row>
    <row r="21" spans="2:9" ht="15.5">
      <c r="B21" s="1383">
        <f>+B20+1</f>
        <v>10</v>
      </c>
      <c r="D21" s="1843" t="s">
        <v>257</v>
      </c>
      <c r="F21" s="326" t="str">
        <f>"( sum of lines "&amp;B13&amp;"  through "&amp;B20&amp;" )"</f>
        <v>( sum of lines 2  through 9 )</v>
      </c>
      <c r="G21" s="1844">
        <f>SUM(G13:G20)</f>
        <v>0</v>
      </c>
      <c r="H21" s="278"/>
      <c r="I21" s="278"/>
    </row>
    <row r="22" spans="2:9" ht="15.5">
      <c r="B22" s="1383"/>
      <c r="G22" s="1845"/>
      <c r="H22" s="278"/>
      <c r="I22" s="278"/>
    </row>
    <row r="23" spans="2:9" s="397" customFormat="1" ht="15" customHeight="1"/>
    <row r="24" spans="2:9" s="397" customFormat="1"/>
    <row r="25" spans="2:9" s="397" customFormat="1"/>
    <row r="26" spans="2:9" s="397" customFormat="1" ht="23.25" customHeight="1"/>
    <row r="27" spans="2:9" s="397" customFormat="1"/>
    <row r="28" spans="2:9" s="397" customFormat="1"/>
    <row r="29" spans="2:9" s="397" customFormat="1"/>
    <row r="30" spans="2:9" s="397" customFormat="1"/>
  </sheetData>
  <mergeCells count="7">
    <mergeCell ref="D11:E11"/>
    <mergeCell ref="A2:H2"/>
    <mergeCell ref="A3:H3"/>
    <mergeCell ref="A4:H4"/>
    <mergeCell ref="A5:H5"/>
    <mergeCell ref="B7:G7"/>
    <mergeCell ref="D10:E10"/>
  </mergeCells>
  <printOptions horizontalCentered="1"/>
  <pageMargins left="0.75" right="0.75" top="1" bottom="0.25" header="0.65" footer="0.5"/>
  <pageSetup scale="72" orientation="portrait" horizontalDpi="1200" verticalDpi="1200" r:id="rId1"/>
  <headerFooter alignWithMargins="0">
    <oddHeader xml:space="preserve">&amp;R&amp;12AEP - SPP Transco Formula Rate
TCOS - WS I
Page: &amp;P of &amp;N&amp;16
</oddHeader>
    <oddFooter xml:space="preserve">&amp;C &amp;R </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7"/>
  <sheetViews>
    <sheetView topLeftCell="A4" zoomScale="80" zoomScaleNormal="80" zoomScaleSheetLayoutView="75" workbookViewId="0">
      <selection activeCell="D45" sqref="D45"/>
    </sheetView>
  </sheetViews>
  <sheetFormatPr defaultColWidth="9.1796875" defaultRowHeight="15.5"/>
  <cols>
    <col min="1" max="1" width="10.453125" style="1105" customWidth="1"/>
    <col min="2" max="2" width="12.7265625" style="1102" customWidth="1"/>
    <col min="3" max="3" width="59.26953125" style="1103" customWidth="1"/>
    <col min="4" max="4" width="17.81640625" style="1103" customWidth="1"/>
    <col min="5" max="5" width="24.453125" style="1103" customWidth="1"/>
    <col min="6" max="6" width="17.26953125" style="1103" customWidth="1"/>
    <col min="7" max="7" width="42" style="1103" customWidth="1"/>
    <col min="8" max="8" width="13.81640625" style="1103" customWidth="1"/>
    <col min="9" max="10" width="12.7265625" style="1103" customWidth="1"/>
    <col min="11" max="11" width="13.26953125" style="1103" customWidth="1"/>
    <col min="12" max="19" width="9.1796875" style="1103"/>
    <col min="20" max="20" width="9.26953125" style="132" bestFit="1" customWidth="1"/>
    <col min="21" max="21" width="8.81640625" style="132" customWidth="1"/>
    <col min="22" max="22" width="9.26953125" style="132" bestFit="1" customWidth="1"/>
    <col min="23" max="23" width="8.81640625" style="132" customWidth="1"/>
    <col min="24" max="24" width="10.81640625" style="132" bestFit="1" customWidth="1"/>
    <col min="25" max="25" width="8.81640625" style="132" customWidth="1"/>
    <col min="26" max="26" width="10.81640625" style="132" bestFit="1" customWidth="1"/>
    <col min="27" max="27" width="8.81640625" style="132" customWidth="1"/>
    <col min="28" max="28" width="10.7265625" style="132" bestFit="1" customWidth="1"/>
    <col min="29" max="29" width="8.81640625" style="132" customWidth="1"/>
    <col min="30" max="30" width="9.26953125" style="132" bestFit="1" customWidth="1"/>
    <col min="31" max="31" width="8.81640625" style="132" customWidth="1"/>
    <col min="32" max="32" width="11.54296875" style="132" bestFit="1" customWidth="1"/>
    <col min="33" max="33" width="8.81640625" style="132" customWidth="1"/>
    <col min="34" max="34" width="11.54296875" style="132" bestFit="1" customWidth="1"/>
    <col min="35" max="35" width="8.81640625" style="132" customWidth="1"/>
    <col min="36" max="36" width="11" style="132" bestFit="1" customWidth="1"/>
    <col min="37" max="37" width="8.81640625" style="132" customWidth="1"/>
    <col min="38" max="38" width="9.26953125" style="132" bestFit="1" customWidth="1"/>
    <col min="39" max="39" width="8.81640625" style="132" customWidth="1"/>
    <col min="40" max="40" width="11.54296875" style="132" bestFit="1" customWidth="1"/>
    <col min="41" max="43" width="8.81640625" style="132" customWidth="1"/>
    <col min="44" max="16384" width="9.1796875" style="1103"/>
  </cols>
  <sheetData>
    <row r="1" spans="1:11">
      <c r="A1" s="502"/>
    </row>
    <row r="2" spans="1:11" ht="23.25" customHeight="1">
      <c r="A2" s="2101" t="str">
        <f>+'SWT WS H Rev Credits'!A3:N3</f>
        <v xml:space="preserve">AEP West SPP Member Transmission Companies </v>
      </c>
      <c r="B2" s="2101"/>
      <c r="C2" s="2101"/>
      <c r="D2" s="2101"/>
      <c r="E2" s="2101"/>
      <c r="F2" s="2101"/>
      <c r="G2" s="2101"/>
      <c r="H2" s="670"/>
    </row>
    <row r="3" spans="1:11" ht="18.75" customHeight="1">
      <c r="A3" s="2101" t="str">
        <f>+'SWT WS A-1 - Plant'!A3</f>
        <v xml:space="preserve">Actual / Projected 2019 Rate Year Cost of Service Formula Rate </v>
      </c>
      <c r="B3" s="2101"/>
      <c r="C3" s="2101"/>
      <c r="D3" s="2101"/>
      <c r="E3" s="2101"/>
      <c r="F3" s="2101"/>
      <c r="G3" s="2101"/>
      <c r="H3" s="1557"/>
      <c r="I3" s="1557"/>
      <c r="J3" s="1557"/>
      <c r="K3" s="1557"/>
    </row>
    <row r="4" spans="1:11" ht="19.5" customHeight="1">
      <c r="A4" s="2102" t="s">
        <v>114</v>
      </c>
      <c r="B4" s="2101"/>
      <c r="C4" s="2101"/>
      <c r="D4" s="2101"/>
      <c r="E4" s="2101"/>
      <c r="F4" s="2101"/>
      <c r="G4" s="2101"/>
    </row>
    <row r="5" spans="1:11" ht="18" customHeight="1">
      <c r="A5" s="2025" t="str">
        <f>+'SWT TCOS'!F8</f>
        <v>AEP SOUTHWESTERN TRANSMISSION COMPANY</v>
      </c>
      <c r="B5" s="2025"/>
      <c r="C5" s="2025"/>
      <c r="D5" s="2025"/>
      <c r="E5" s="2025"/>
      <c r="F5" s="2025"/>
      <c r="G5" s="2025"/>
    </row>
    <row r="6" spans="1:11" ht="12.75" customHeight="1">
      <c r="A6" s="1996"/>
      <c r="B6" s="1996"/>
      <c r="C6" s="1996"/>
      <c r="D6" s="1996"/>
      <c r="E6" s="1996"/>
      <c r="F6" s="1996"/>
      <c r="G6" s="1104"/>
    </row>
    <row r="7" spans="1:11" ht="18">
      <c r="A7" s="2003"/>
      <c r="B7" s="2003"/>
      <c r="C7" s="2003"/>
      <c r="D7" s="2003"/>
      <c r="E7" s="2003"/>
      <c r="F7" s="2003"/>
      <c r="G7" s="2003"/>
    </row>
    <row r="8" spans="1:11" ht="18">
      <c r="A8" s="943"/>
      <c r="B8" s="943"/>
      <c r="C8" s="943"/>
      <c r="D8" s="943"/>
      <c r="E8" s="943"/>
      <c r="F8" s="943"/>
      <c r="G8" s="943"/>
    </row>
    <row r="9" spans="1:11">
      <c r="B9" s="538" t="s">
        <v>300</v>
      </c>
      <c r="C9" s="538" t="s">
        <v>301</v>
      </c>
      <c r="D9" s="538" t="s">
        <v>302</v>
      </c>
      <c r="E9" s="538" t="s">
        <v>303</v>
      </c>
      <c r="F9" s="538" t="s">
        <v>228</v>
      </c>
      <c r="G9" s="538" t="s">
        <v>229</v>
      </c>
    </row>
    <row r="10" spans="1:11">
      <c r="B10" s="1106"/>
      <c r="C10" s="1104"/>
      <c r="D10" s="1107"/>
      <c r="E10" s="1108"/>
      <c r="F10" s="1109" t="s">
        <v>231</v>
      </c>
      <c r="G10" s="538"/>
    </row>
    <row r="11" spans="1:11">
      <c r="A11" s="517" t="s">
        <v>307</v>
      </c>
      <c r="B11" s="517" t="s">
        <v>149</v>
      </c>
      <c r="C11" s="1110"/>
      <c r="D11" s="517">
        <f>+'SWT TCOS'!N2</f>
        <v>2019</v>
      </c>
      <c r="E11" s="1109" t="s">
        <v>231</v>
      </c>
      <c r="F11" s="517" t="s">
        <v>254</v>
      </c>
      <c r="G11" s="538" t="s">
        <v>422</v>
      </c>
    </row>
    <row r="12" spans="1:11">
      <c r="A12" s="517" t="s">
        <v>245</v>
      </c>
      <c r="B12" s="517" t="s">
        <v>150</v>
      </c>
      <c r="C12" s="517" t="s">
        <v>305</v>
      </c>
      <c r="D12" s="517" t="s">
        <v>214</v>
      </c>
      <c r="E12" s="517" t="s">
        <v>233</v>
      </c>
      <c r="F12" s="517" t="s">
        <v>215</v>
      </c>
      <c r="G12" s="1111" t="s">
        <v>423</v>
      </c>
    </row>
    <row r="13" spans="1:11">
      <c r="B13" s="517"/>
      <c r="C13" s="517"/>
      <c r="D13" s="517"/>
      <c r="E13" s="517"/>
      <c r="F13" s="517"/>
      <c r="G13" s="517"/>
    </row>
    <row r="14" spans="1:11">
      <c r="B14" s="1105"/>
      <c r="C14" s="1112" t="s">
        <v>350</v>
      </c>
      <c r="D14" s="1104"/>
      <c r="E14" s="1104"/>
      <c r="F14" s="1104"/>
      <c r="G14" s="1104"/>
    </row>
    <row r="15" spans="1:11">
      <c r="A15" s="1113">
        <v>1</v>
      </c>
      <c r="B15" s="1846" t="s">
        <v>997</v>
      </c>
      <c r="C15" s="1846" t="s">
        <v>993</v>
      </c>
      <c r="D15" s="1116">
        <v>0.01</v>
      </c>
      <c r="E15" s="1116"/>
      <c r="F15" s="1116">
        <f>+D15</f>
        <v>0.01</v>
      </c>
      <c r="G15" s="1117"/>
      <c r="I15" s="1118"/>
      <c r="J15" s="1118"/>
    </row>
    <row r="16" spans="1:11">
      <c r="A16" s="1113">
        <f t="shared" ref="A16:A29" si="0">+A15+1</f>
        <v>2</v>
      </c>
      <c r="B16" s="1846" t="s">
        <v>998</v>
      </c>
      <c r="C16" s="1846" t="s">
        <v>994</v>
      </c>
      <c r="D16" s="1116">
        <v>0.04</v>
      </c>
      <c r="E16" s="1116"/>
      <c r="F16" s="1116">
        <f>+D16</f>
        <v>0.04</v>
      </c>
      <c r="G16" s="1117"/>
      <c r="I16" s="1118"/>
      <c r="J16" s="1118"/>
    </row>
    <row r="17" spans="1:7">
      <c r="A17" s="1113">
        <f t="shared" si="0"/>
        <v>3</v>
      </c>
      <c r="B17" s="1846" t="s">
        <v>999</v>
      </c>
      <c r="C17" s="1846" t="s">
        <v>995</v>
      </c>
      <c r="D17" s="1116">
        <v>-1.45</v>
      </c>
      <c r="E17" s="1847"/>
      <c r="F17" s="1116">
        <f>+D17</f>
        <v>-1.45</v>
      </c>
      <c r="G17" s="1117"/>
    </row>
    <row r="18" spans="1:7">
      <c r="A18" s="1113">
        <f t="shared" si="0"/>
        <v>4</v>
      </c>
      <c r="B18" s="1846" t="s">
        <v>1000</v>
      </c>
      <c r="C18" s="1846" t="s">
        <v>996</v>
      </c>
      <c r="D18" s="1116">
        <v>4.95</v>
      </c>
      <c r="E18" s="1847"/>
      <c r="F18" s="1116">
        <f>+D18</f>
        <v>4.95</v>
      </c>
      <c r="G18" s="1117"/>
    </row>
    <row r="19" spans="1:7">
      <c r="A19" s="1113">
        <f t="shared" si="0"/>
        <v>5</v>
      </c>
      <c r="B19" s="1119"/>
      <c r="C19" s="1120"/>
      <c r="D19" s="1116"/>
      <c r="E19" s="1116"/>
      <c r="F19" s="1116"/>
      <c r="G19" s="1117"/>
    </row>
    <row r="20" spans="1:7">
      <c r="A20" s="1113">
        <f t="shared" si="0"/>
        <v>6</v>
      </c>
      <c r="B20" s="1119"/>
      <c r="C20" s="1120"/>
      <c r="D20" s="1116"/>
      <c r="E20" s="1116"/>
      <c r="F20" s="1116"/>
      <c r="G20" s="1117"/>
    </row>
    <row r="21" spans="1:7">
      <c r="A21" s="1113">
        <f t="shared" si="0"/>
        <v>7</v>
      </c>
      <c r="B21" s="1119"/>
      <c r="C21" s="1120"/>
      <c r="D21" s="1116"/>
      <c r="E21" s="1116"/>
      <c r="F21" s="1116"/>
      <c r="G21" s="1117"/>
    </row>
    <row r="22" spans="1:7">
      <c r="A22" s="1113">
        <f t="shared" si="0"/>
        <v>8</v>
      </c>
      <c r="B22" s="1119"/>
      <c r="C22" s="1120"/>
      <c r="D22" s="1116"/>
      <c r="E22" s="1116"/>
      <c r="F22" s="1116"/>
      <c r="G22" s="1117"/>
    </row>
    <row r="23" spans="1:7">
      <c r="A23" s="1113">
        <f t="shared" si="0"/>
        <v>9</v>
      </c>
      <c r="B23" s="1119"/>
      <c r="C23" s="1120"/>
      <c r="D23" s="1116"/>
      <c r="E23" s="1116"/>
      <c r="F23" s="1116"/>
      <c r="G23" s="1117"/>
    </row>
    <row r="24" spans="1:7">
      <c r="A24" s="1113">
        <f t="shared" si="0"/>
        <v>10</v>
      </c>
      <c r="B24" s="1119"/>
      <c r="C24" s="1120"/>
      <c r="D24" s="1121"/>
      <c r="E24" s="1116"/>
      <c r="F24" s="1116"/>
      <c r="G24" s="1117"/>
    </row>
    <row r="25" spans="1:7">
      <c r="A25" s="1113">
        <f t="shared" si="0"/>
        <v>11</v>
      </c>
      <c r="B25" s="1848"/>
      <c r="C25" s="1123"/>
      <c r="D25" s="1847"/>
      <c r="E25" s="1847"/>
      <c r="F25" s="1849"/>
      <c r="G25" s="1126"/>
    </row>
    <row r="26" spans="1:7">
      <c r="A26" s="1113">
        <f t="shared" si="0"/>
        <v>12</v>
      </c>
      <c r="B26" s="1848"/>
      <c r="C26" s="1123"/>
      <c r="D26" s="1847"/>
      <c r="E26" s="1847"/>
      <c r="F26" s="1849"/>
      <c r="G26" s="1126"/>
    </row>
    <row r="27" spans="1:7">
      <c r="A27" s="1113">
        <f t="shared" si="0"/>
        <v>13</v>
      </c>
      <c r="B27" s="1848"/>
      <c r="C27" s="1123"/>
      <c r="D27" s="1847"/>
      <c r="E27" s="1847"/>
      <c r="F27" s="1849"/>
      <c r="G27" s="1126"/>
    </row>
    <row r="28" spans="1:7">
      <c r="A28" s="1113">
        <f t="shared" si="0"/>
        <v>14</v>
      </c>
      <c r="B28" s="1848"/>
      <c r="C28" s="1123"/>
      <c r="D28" s="1847"/>
      <c r="E28" s="1847"/>
      <c r="F28" s="1849"/>
      <c r="G28" s="1126"/>
    </row>
    <row r="29" spans="1:7">
      <c r="A29" s="1113">
        <f t="shared" si="0"/>
        <v>15</v>
      </c>
      <c r="B29" s="1848"/>
      <c r="C29" s="1123"/>
      <c r="D29" s="1847"/>
      <c r="E29" s="1847"/>
      <c r="F29" s="1849"/>
      <c r="G29" s="1126"/>
    </row>
    <row r="30" spans="1:7">
      <c r="B30" s="1127"/>
      <c r="C30" s="1128"/>
      <c r="D30" s="1129"/>
      <c r="E30" s="1130"/>
      <c r="F30" s="1131"/>
      <c r="G30" s="1104"/>
    </row>
    <row r="31" spans="1:7">
      <c r="A31" s="1105">
        <f>+A29+1</f>
        <v>16</v>
      </c>
      <c r="B31" s="1132"/>
      <c r="C31" s="1133" t="s">
        <v>602</v>
      </c>
      <c r="D31" s="1134">
        <f>SUM(D15:D29)</f>
        <v>3.5500000000000003</v>
      </c>
      <c r="E31" s="1134">
        <f>SUM(E15:E29)</f>
        <v>0</v>
      </c>
      <c r="F31" s="1134">
        <f>SUM(F15:F29)</f>
        <v>3.5500000000000003</v>
      </c>
      <c r="G31" s="1135"/>
    </row>
    <row r="32" spans="1:7">
      <c r="B32" s="1132"/>
      <c r="C32" s="1136"/>
      <c r="D32" s="1137"/>
      <c r="E32" s="1104"/>
      <c r="F32" s="1104"/>
      <c r="G32" s="1104"/>
    </row>
    <row r="33" spans="1:19">
      <c r="B33" s="1138"/>
      <c r="C33" s="1112" t="s">
        <v>349</v>
      </c>
      <c r="D33" s="1104"/>
      <c r="E33" s="1104"/>
      <c r="F33" s="1104"/>
      <c r="G33" s="1104"/>
      <c r="H33" s="132"/>
    </row>
    <row r="34" spans="1:19">
      <c r="A34" s="1105">
        <f>A31+1</f>
        <v>17</v>
      </c>
      <c r="B34" s="1846" t="s">
        <v>1001</v>
      </c>
      <c r="C34" s="1846" t="s">
        <v>1002</v>
      </c>
      <c r="D34" s="1847">
        <v>0.05</v>
      </c>
      <c r="E34" s="1847"/>
      <c r="F34" s="1847">
        <f>+D34</f>
        <v>0.05</v>
      </c>
      <c r="G34" s="1849"/>
      <c r="H34" s="132"/>
    </row>
    <row r="35" spans="1:19">
      <c r="A35" s="1105">
        <f>+A34+1</f>
        <v>18</v>
      </c>
      <c r="B35" s="1848"/>
      <c r="C35" s="1850"/>
      <c r="D35" s="1847"/>
      <c r="E35" s="1847"/>
      <c r="F35" s="1847"/>
      <c r="G35" s="1849"/>
      <c r="H35" s="132"/>
    </row>
    <row r="36" spans="1:19">
      <c r="A36" s="1105">
        <f>+A35+1</f>
        <v>19</v>
      </c>
      <c r="B36" s="1848"/>
      <c r="C36" s="1850"/>
      <c r="D36" s="1847"/>
      <c r="E36" s="1847"/>
      <c r="F36" s="1847"/>
      <c r="G36" s="1849"/>
      <c r="H36" s="132"/>
      <c r="M36" s="1379"/>
      <c r="N36" s="1379"/>
      <c r="O36" s="1851"/>
      <c r="P36" s="1851"/>
      <c r="Q36" s="1851"/>
      <c r="R36" s="1851"/>
      <c r="S36" s="1851"/>
    </row>
    <row r="37" spans="1:19">
      <c r="A37" s="1105">
        <f>+A36+1</f>
        <v>20</v>
      </c>
      <c r="B37" s="1848"/>
      <c r="C37" s="1850"/>
      <c r="D37" s="1847"/>
      <c r="E37" s="1847"/>
      <c r="F37" s="1847"/>
      <c r="G37" s="1849"/>
      <c r="H37" s="132"/>
      <c r="M37" s="1379"/>
      <c r="N37" s="1379"/>
      <c r="O37" s="1851"/>
      <c r="P37" s="1851"/>
      <c r="Q37" s="1851"/>
      <c r="R37" s="1851"/>
      <c r="S37" s="1851"/>
    </row>
    <row r="38" spans="1:19">
      <c r="A38" s="1105">
        <f>+A37+1</f>
        <v>21</v>
      </c>
      <c r="B38" s="1848"/>
      <c r="C38" s="1850"/>
      <c r="D38" s="1847"/>
      <c r="E38" s="1847"/>
      <c r="F38" s="1847"/>
      <c r="G38" s="1849"/>
      <c r="H38" s="132"/>
      <c r="M38" s="1379"/>
      <c r="N38" s="1379"/>
      <c r="O38" s="1851"/>
      <c r="P38" s="1851"/>
      <c r="Q38" s="1851"/>
      <c r="R38" s="1851"/>
      <c r="S38" s="1851"/>
    </row>
    <row r="39" spans="1:19">
      <c r="B39" s="465"/>
      <c r="C39" s="573"/>
      <c r="D39" s="1142"/>
      <c r="E39" s="1142"/>
      <c r="F39" s="1142"/>
      <c r="G39" s="1142"/>
      <c r="H39" s="132"/>
    </row>
    <row r="40" spans="1:19">
      <c r="B40" s="1127"/>
      <c r="C40" s="1104"/>
      <c r="D40" s="1143"/>
      <c r="E40" s="1144"/>
      <c r="F40" s="1143"/>
      <c r="G40" s="1104"/>
      <c r="H40" s="132"/>
    </row>
    <row r="41" spans="1:19">
      <c r="A41" s="1105">
        <f>+A38+1</f>
        <v>22</v>
      </c>
      <c r="B41" s="1132"/>
      <c r="C41" s="1852" t="s">
        <v>603</v>
      </c>
      <c r="D41" s="1146">
        <f>SUM(D34:D40)</f>
        <v>0.05</v>
      </c>
      <c r="E41" s="1146">
        <f>SUM(E34:E40)</f>
        <v>0</v>
      </c>
      <c r="F41" s="1146">
        <f>SUM(F34:F40)</f>
        <v>0.05</v>
      </c>
      <c r="G41" s="1147"/>
    </row>
    <row r="42" spans="1:19" ht="12.75" customHeight="1">
      <c r="B42" s="283"/>
      <c r="C42" s="407"/>
      <c r="D42" s="1148"/>
      <c r="E42" s="1148"/>
      <c r="F42" s="1148"/>
      <c r="G42" s="407"/>
    </row>
    <row r="43" spans="1:19">
      <c r="B43" s="1149"/>
      <c r="C43" s="1112" t="s">
        <v>348</v>
      </c>
      <c r="D43" s="1150"/>
      <c r="E43" s="1150"/>
      <c r="F43" s="1150"/>
      <c r="G43" s="538"/>
    </row>
    <row r="44" spans="1:19">
      <c r="A44" s="1105">
        <f>+A41+1</f>
        <v>23</v>
      </c>
      <c r="B44" s="1846" t="s">
        <v>1003</v>
      </c>
      <c r="C44" s="1846" t="s">
        <v>1004</v>
      </c>
      <c r="D44" s="1847">
        <v>6050.06</v>
      </c>
      <c r="E44" s="1847"/>
      <c r="F44" s="1847">
        <f>+D44</f>
        <v>6050.06</v>
      </c>
      <c r="G44" s="1849"/>
      <c r="H44" s="132"/>
      <c r="I44" s="132"/>
    </row>
    <row r="45" spans="1:19">
      <c r="A45" s="1105">
        <f>+A44+1</f>
        <v>24</v>
      </c>
      <c r="B45" s="1853"/>
      <c r="C45" s="1850"/>
      <c r="D45" s="1847"/>
      <c r="E45" s="1847"/>
      <c r="F45" s="1847"/>
      <c r="G45" s="1849"/>
      <c r="H45" s="132"/>
      <c r="I45" s="132"/>
    </row>
    <row r="46" spans="1:19">
      <c r="A46" s="1105">
        <f>+A45+1</f>
        <v>25</v>
      </c>
      <c r="B46" s="1853"/>
      <c r="C46" s="1850"/>
      <c r="D46" s="1847"/>
      <c r="E46" s="1847"/>
      <c r="F46" s="1847"/>
      <c r="G46" s="1849"/>
      <c r="H46" s="132"/>
      <c r="I46" s="132"/>
    </row>
    <row r="47" spans="1:19">
      <c r="A47" s="1105">
        <f>+A46+1</f>
        <v>26</v>
      </c>
      <c r="B47" s="1853"/>
      <c r="C47" s="1850"/>
      <c r="D47" s="1847"/>
      <c r="E47" s="1847"/>
      <c r="F47" s="1847"/>
      <c r="G47" s="1849"/>
      <c r="H47" s="132"/>
      <c r="I47" s="132"/>
      <c r="J47" s="1851"/>
      <c r="K47" s="1851"/>
    </row>
    <row r="48" spans="1:19">
      <c r="A48" s="1105">
        <f>+A47+1</f>
        <v>27</v>
      </c>
      <c r="B48" s="1853"/>
      <c r="C48" s="1850"/>
      <c r="D48" s="1847"/>
      <c r="E48" s="1847"/>
      <c r="F48" s="1847"/>
      <c r="G48" s="1849"/>
      <c r="H48" s="132"/>
      <c r="I48" s="132"/>
    </row>
    <row r="49" spans="1:10">
      <c r="B49" s="407"/>
      <c r="C49" s="407"/>
      <c r="D49" s="407"/>
      <c r="E49" s="407"/>
      <c r="F49" s="407"/>
      <c r="G49" s="407"/>
    </row>
    <row r="50" spans="1:10">
      <c r="A50" s="1105">
        <f>+A48+1</f>
        <v>28</v>
      </c>
      <c r="B50" s="407"/>
      <c r="C50" s="1852" t="s">
        <v>604</v>
      </c>
      <c r="D50" s="1134">
        <f>SUM(D44:D49)</f>
        <v>6050.06</v>
      </c>
      <c r="E50" s="1153">
        <f>SUM(E44:E49)</f>
        <v>0</v>
      </c>
      <c r="F50" s="1153">
        <f>SUM(F44:F49)</f>
        <v>6050.06</v>
      </c>
      <c r="G50" s="1147"/>
      <c r="J50" s="1154"/>
    </row>
    <row r="51" spans="1:10">
      <c r="B51" s="279"/>
      <c r="C51" s="279"/>
      <c r="D51" s="1155"/>
      <c r="E51" s="279"/>
      <c r="F51" s="279"/>
      <c r="G51" s="279"/>
    </row>
    <row r="53" spans="1:10" ht="47.25" customHeight="1">
      <c r="B53" s="2046"/>
      <c r="C53" s="2046"/>
      <c r="D53" s="2046"/>
      <c r="E53" s="2046"/>
      <c r="F53" s="2046"/>
      <c r="G53" s="2046"/>
    </row>
    <row r="54" spans="1:10">
      <c r="D54" s="1156"/>
    </row>
    <row r="57" spans="1:10">
      <c r="D57" s="1157"/>
    </row>
  </sheetData>
  <mergeCells count="7">
    <mergeCell ref="B53:G53"/>
    <mergeCell ref="A2:G2"/>
    <mergeCell ref="A3:G3"/>
    <mergeCell ref="A4:G4"/>
    <mergeCell ref="A5:G5"/>
    <mergeCell ref="A6:F6"/>
    <mergeCell ref="A7:G7"/>
  </mergeCells>
  <conditionalFormatting sqref="H41 K15:K16 H50:I50 H31:I31 H15:H29">
    <cfRule type="cellIs" dxfId="0" priority="1" stopIfTrue="1" operator="equal">
      <formula>FALSE</formula>
    </cfRule>
  </conditionalFormatting>
  <printOptions horizontalCentered="1"/>
  <pageMargins left="0.75" right="0.75" top="1" bottom="0.25" header="0.65" footer="0.5"/>
  <pageSetup scale="10" orientation="portrait" horizontalDpi="1200" verticalDpi="1200" r:id="rId1"/>
  <headerFooter alignWithMargins="0">
    <oddHeader xml:space="preserve">&amp;R&amp;12AEP - SPP Transco Formula Rate
 TCOS - WS J
Page: &amp;P of &amp;N&amp;16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81" zoomScaleNormal="81" zoomScaleSheetLayoutView="75" workbookViewId="0">
      <selection activeCell="K19" sqref="K19"/>
    </sheetView>
  </sheetViews>
  <sheetFormatPr defaultColWidth="8.81640625" defaultRowHeight="12.5"/>
  <cols>
    <col min="1" max="1" width="9.26953125" style="279" bestFit="1" customWidth="1"/>
    <col min="2" max="2" width="32.54296875" style="279" customWidth="1"/>
    <col min="3" max="4" width="8.81640625" style="279"/>
    <col min="5" max="5" width="15" style="279" customWidth="1"/>
    <col min="6" max="6" width="11" style="279" bestFit="1" customWidth="1"/>
    <col min="7" max="7" width="10.81640625" style="279" customWidth="1"/>
    <col min="8" max="8" width="5" style="279" customWidth="1"/>
    <col min="9" max="9" width="21" style="279" bestFit="1" customWidth="1"/>
    <col min="10" max="10" width="2.1796875" style="279" customWidth="1"/>
    <col min="11" max="11" width="15.54296875" style="279" bestFit="1" customWidth="1"/>
    <col min="12" max="12" width="4.81640625" style="279" customWidth="1"/>
    <col min="13" max="16384" width="8.81640625" style="279"/>
  </cols>
  <sheetData>
    <row r="1" spans="1:12" ht="15.5">
      <c r="A1" s="551"/>
    </row>
    <row r="2" spans="1:12" ht="17.5">
      <c r="A2" s="1996" t="str">
        <f>+'SWT TCOS'!F4</f>
        <v xml:space="preserve">AEP West SPP Member Transmission Companies </v>
      </c>
      <c r="B2" s="1996"/>
      <c r="C2" s="1996"/>
      <c r="D2" s="1996"/>
      <c r="E2" s="1996"/>
      <c r="F2" s="1996"/>
      <c r="G2" s="1996"/>
      <c r="H2" s="1996"/>
      <c r="I2" s="1158"/>
      <c r="J2" s="1158"/>
    </row>
    <row r="3" spans="1:12" ht="17.5">
      <c r="A3" s="2086" t="str">
        <f>+'SWT WS A-1 - Plant'!A3</f>
        <v xml:space="preserve">Actual / Projected 2019 Rate Year Cost of Service Formula Rate </v>
      </c>
      <c r="B3" s="2086"/>
      <c r="C3" s="2086"/>
      <c r="D3" s="2086"/>
      <c r="E3" s="2086"/>
      <c r="F3" s="2086"/>
      <c r="G3" s="2086"/>
      <c r="H3" s="2086"/>
      <c r="I3" s="1158"/>
      <c r="J3" s="1158"/>
    </row>
    <row r="4" spans="1:12" ht="17.5">
      <c r="A4" s="2087" t="s">
        <v>115</v>
      </c>
      <c r="B4" s="2086"/>
      <c r="C4" s="2086"/>
      <c r="D4" s="2086"/>
      <c r="E4" s="2086"/>
      <c r="F4" s="2086"/>
      <c r="G4" s="2086"/>
      <c r="H4" s="2086"/>
      <c r="I4" s="1158"/>
      <c r="J4" s="1158"/>
    </row>
    <row r="5" spans="1:12" ht="17.5">
      <c r="A5" s="2025" t="str">
        <f>+'SWT TCOS'!F8</f>
        <v>AEP SOUTHWESTERN TRANSMISSION COMPANY</v>
      </c>
      <c r="B5" s="2025"/>
      <c r="C5" s="2025"/>
      <c r="D5" s="2025"/>
      <c r="E5" s="2025"/>
      <c r="F5" s="2025"/>
      <c r="G5" s="2025"/>
      <c r="I5" s="1158"/>
      <c r="J5" s="1158"/>
    </row>
    <row r="7" spans="1:12" ht="21.75" customHeight="1">
      <c r="A7" s="1159" t="s">
        <v>309</v>
      </c>
      <c r="B7" s="741" t="str">
        <f>"DEVELOPMENT OF COMPOSITE STATE INCOME TAX  RATES FOR "&amp;'SWT TCOS'!$N$2&amp;""</f>
        <v>DEVELOPMENT OF COMPOSITE STATE INCOME TAX  RATES FOR 2019</v>
      </c>
      <c r="C7" s="741"/>
      <c r="D7" s="741"/>
      <c r="E7" s="741"/>
      <c r="F7" s="741"/>
      <c r="G7" s="741"/>
      <c r="H7" s="741"/>
      <c r="I7" s="741"/>
      <c r="J7" s="741"/>
    </row>
    <row r="8" spans="1:12" ht="12.75" customHeight="1">
      <c r="A8" s="741"/>
    </row>
    <row r="9" spans="1:12" ht="18">
      <c r="A9" s="1160"/>
      <c r="B9" s="1161" t="s">
        <v>991</v>
      </c>
      <c r="C9" s="1161"/>
      <c r="D9" s="1162" t="s">
        <v>129</v>
      </c>
      <c r="E9" s="1163">
        <v>6.5000000000000002E-2</v>
      </c>
      <c r="F9" s="407"/>
      <c r="G9" s="1164"/>
      <c r="H9" s="1164"/>
      <c r="L9" s="328"/>
    </row>
    <row r="10" spans="1:12" ht="15.5">
      <c r="A10" s="328"/>
      <c r="B10" s="278" t="s">
        <v>339</v>
      </c>
      <c r="C10" s="1165"/>
      <c r="D10" s="1165"/>
      <c r="E10" s="1163">
        <v>1.08E-4</v>
      </c>
      <c r="F10" s="407"/>
      <c r="G10" s="1164"/>
      <c r="H10" s="1164"/>
      <c r="L10" s="328"/>
    </row>
    <row r="11" spans="1:12" ht="15.5">
      <c r="A11" s="328"/>
      <c r="B11" s="278" t="s">
        <v>36</v>
      </c>
      <c r="C11" s="1165"/>
      <c r="D11" s="1165"/>
      <c r="E11" s="407"/>
      <c r="F11" s="1166">
        <f>ROUND(E9*E10,6)</f>
        <v>6.9999999999999999E-6</v>
      </c>
      <c r="G11" s="1164"/>
      <c r="L11" s="328"/>
    </row>
    <row r="12" spans="1:12" ht="15.5">
      <c r="A12" s="328"/>
      <c r="B12" s="278"/>
      <c r="C12" s="1165"/>
      <c r="D12" s="1165"/>
      <c r="E12" s="1165"/>
      <c r="F12" s="1167"/>
      <c r="G12" s="1164"/>
      <c r="L12" s="328"/>
    </row>
    <row r="13" spans="1:12" ht="15.5">
      <c r="A13" s="328"/>
      <c r="B13" s="1161" t="s">
        <v>992</v>
      </c>
      <c r="C13" s="1161"/>
      <c r="D13" s="1165"/>
      <c r="E13" s="1163">
        <v>0.08</v>
      </c>
      <c r="F13" s="1166"/>
      <c r="G13" s="1164"/>
      <c r="L13" s="328"/>
    </row>
    <row r="14" spans="1:12" ht="15.5">
      <c r="A14" s="328"/>
      <c r="B14" s="278" t="s">
        <v>339</v>
      </c>
      <c r="C14" s="1165"/>
      <c r="D14" s="1165"/>
      <c r="E14" s="1163">
        <v>1</v>
      </c>
      <c r="F14" s="1166"/>
      <c r="G14" s="1164"/>
      <c r="L14" s="328"/>
    </row>
    <row r="15" spans="1:12" ht="15.5">
      <c r="A15" s="328"/>
      <c r="B15" s="278" t="s">
        <v>36</v>
      </c>
      <c r="C15" s="1165"/>
      <c r="D15" s="1165"/>
      <c r="E15" s="407"/>
      <c r="F15" s="1166">
        <f>ROUND(E13*E14,6)</f>
        <v>0.08</v>
      </c>
      <c r="G15" s="1164"/>
      <c r="L15" s="328"/>
    </row>
    <row r="16" spans="1:12" ht="15.5">
      <c r="A16" s="328"/>
      <c r="B16" s="278"/>
      <c r="C16" s="1165"/>
      <c r="D16" s="1165"/>
      <c r="E16" s="1165"/>
      <c r="F16" s="1166"/>
      <c r="G16" s="1164"/>
      <c r="L16" s="328"/>
    </row>
    <row r="17" spans="1:12" ht="15.5">
      <c r="A17" s="328"/>
      <c r="B17" s="1161" t="s">
        <v>667</v>
      </c>
      <c r="C17" s="1161"/>
      <c r="D17" s="1168"/>
      <c r="E17" s="1163"/>
      <c r="F17" s="1169"/>
      <c r="G17" s="1164"/>
      <c r="L17" s="328"/>
    </row>
    <row r="18" spans="1:12" ht="15.5">
      <c r="A18" s="328"/>
      <c r="B18" s="278" t="s">
        <v>339</v>
      </c>
      <c r="C18" s="1165"/>
      <c r="D18" s="1168"/>
      <c r="E18" s="1163"/>
      <c r="F18" s="1169"/>
      <c r="G18" s="1164"/>
      <c r="L18" s="328"/>
    </row>
    <row r="19" spans="1:12" ht="15.5">
      <c r="A19" s="328"/>
      <c r="B19" s="278" t="s">
        <v>36</v>
      </c>
      <c r="C19" s="1165"/>
      <c r="D19" s="1168"/>
      <c r="E19" s="407"/>
      <c r="F19" s="1166">
        <f>ROUND(E17*E18,6)</f>
        <v>0</v>
      </c>
      <c r="G19" s="1164"/>
      <c r="L19" s="328"/>
    </row>
    <row r="20" spans="1:12" ht="15.5">
      <c r="A20" s="328"/>
      <c r="B20" s="278"/>
      <c r="C20" s="1165"/>
      <c r="D20" s="1168"/>
      <c r="E20" s="1165"/>
      <c r="F20" s="1166"/>
      <c r="G20" s="1164"/>
      <c r="L20" s="328"/>
    </row>
    <row r="21" spans="1:12" ht="15.5">
      <c r="A21" s="328"/>
      <c r="B21" s="1161" t="s">
        <v>667</v>
      </c>
      <c r="C21" s="1161"/>
      <c r="D21" s="1168"/>
      <c r="E21" s="1163"/>
      <c r="F21" s="1166"/>
      <c r="G21" s="1164"/>
      <c r="L21" s="328"/>
    </row>
    <row r="22" spans="1:12" ht="15.5">
      <c r="A22" s="328"/>
      <c r="B22" s="278" t="s">
        <v>339</v>
      </c>
      <c r="C22" s="1168"/>
      <c r="D22" s="1168"/>
      <c r="E22" s="1163"/>
      <c r="F22" s="1166"/>
      <c r="G22" s="1164"/>
      <c r="L22" s="328"/>
    </row>
    <row r="23" spans="1:12" ht="15.5">
      <c r="A23" s="328"/>
      <c r="B23" s="278" t="s">
        <v>36</v>
      </c>
      <c r="C23" s="1168"/>
      <c r="D23" s="1168"/>
      <c r="E23" s="1170"/>
      <c r="F23" s="1166">
        <f>ROUND(E21*E22,6)</f>
        <v>0</v>
      </c>
      <c r="G23" s="1164"/>
      <c r="L23" s="328"/>
    </row>
    <row r="24" spans="1:12" ht="15.5">
      <c r="A24" s="328"/>
      <c r="B24" s="278"/>
      <c r="C24" s="1165"/>
      <c r="D24" s="1165"/>
      <c r="E24" s="407"/>
      <c r="F24" s="1166"/>
      <c r="G24" s="1164"/>
      <c r="L24" s="328"/>
    </row>
    <row r="25" spans="1:12" ht="15.5">
      <c r="A25" s="328"/>
      <c r="B25" s="1161" t="s">
        <v>428</v>
      </c>
      <c r="C25" s="1161"/>
      <c r="D25" s="1168"/>
      <c r="E25" s="1163"/>
      <c r="F25" s="1166"/>
      <c r="G25" s="1164"/>
      <c r="L25" s="328"/>
    </row>
    <row r="26" spans="1:12" ht="15.5">
      <c r="A26" s="328"/>
      <c r="B26" s="278" t="s">
        <v>339</v>
      </c>
      <c r="C26" s="1168"/>
      <c r="D26" s="1168"/>
      <c r="E26" s="1163"/>
      <c r="F26" s="1166"/>
      <c r="G26" s="1164"/>
      <c r="L26" s="328"/>
    </row>
    <row r="27" spans="1:12" ht="15.5">
      <c r="A27" s="328"/>
      <c r="B27" s="278" t="s">
        <v>36</v>
      </c>
      <c r="C27" s="1168"/>
      <c r="D27" s="1168"/>
      <c r="E27" s="1170"/>
      <c r="F27" s="1166">
        <f>ROUND(E25*E26,6)</f>
        <v>0</v>
      </c>
      <c r="G27" s="1164"/>
      <c r="L27" s="328"/>
    </row>
    <row r="28" spans="1:12" ht="15.5">
      <c r="A28" s="328"/>
      <c r="B28" s="278"/>
      <c r="C28" s="1165"/>
      <c r="D28" s="1165"/>
      <c r="E28" s="407"/>
      <c r="F28" s="1166"/>
      <c r="G28" s="1164"/>
      <c r="L28" s="328"/>
    </row>
    <row r="29" spans="1:12" ht="16" thickBot="1">
      <c r="A29" s="328"/>
      <c r="B29" s="407" t="s">
        <v>340</v>
      </c>
      <c r="C29" s="1165"/>
      <c r="D29" s="1165"/>
      <c r="E29" s="407"/>
      <c r="F29" s="1171">
        <f>+ROUND(SUM(F10:F28),4)</f>
        <v>0.08</v>
      </c>
      <c r="G29" s="1164"/>
      <c r="I29" s="1854"/>
      <c r="L29" s="328"/>
    </row>
    <row r="30" spans="1:12" ht="13.5" thickTop="1">
      <c r="A30" s="328"/>
      <c r="G30" s="1164"/>
      <c r="L30" s="328"/>
    </row>
    <row r="31" spans="1:12" ht="15.5">
      <c r="A31" s="328"/>
      <c r="B31" s="1173" t="s">
        <v>644</v>
      </c>
      <c r="G31" s="1164"/>
      <c r="L31" s="328"/>
    </row>
    <row r="32" spans="1:12" ht="15.5">
      <c r="A32" s="328"/>
      <c r="B32" s="407" t="s">
        <v>131</v>
      </c>
      <c r="G32" s="1164"/>
      <c r="L32" s="328"/>
    </row>
    <row r="33" spans="1:12" ht="15.5">
      <c r="A33" s="328"/>
      <c r="B33" s="407"/>
      <c r="G33" s="1164"/>
      <c r="L33" s="328"/>
    </row>
    <row r="34" spans="1:12" ht="18">
      <c r="A34" s="1159" t="s">
        <v>310</v>
      </c>
      <c r="B34" s="741" t="s">
        <v>359</v>
      </c>
      <c r="C34" s="407"/>
      <c r="D34" s="407"/>
      <c r="E34" s="407"/>
      <c r="F34" s="407"/>
    </row>
    <row r="35" spans="1:12" ht="18">
      <c r="C35" s="741"/>
      <c r="I35" s="2049" t="s">
        <v>501</v>
      </c>
      <c r="J35" s="2049"/>
      <c r="K35" s="2049"/>
      <c r="L35" s="407"/>
    </row>
    <row r="36" spans="1:12" ht="15.5">
      <c r="I36" s="407"/>
      <c r="J36" s="407"/>
      <c r="K36" s="407"/>
      <c r="L36" s="407"/>
    </row>
    <row r="37" spans="1:12" ht="15.5">
      <c r="I37" s="670" t="s">
        <v>37</v>
      </c>
      <c r="J37" s="670"/>
      <c r="K37" s="670" t="s">
        <v>38</v>
      </c>
      <c r="L37" s="407"/>
    </row>
    <row r="38" spans="1:12" ht="15.5">
      <c r="A38" s="670" t="s">
        <v>152</v>
      </c>
      <c r="B38" s="57" t="str">
        <f>"REVENUE REQUIREMENT BEFORE TEXAS GROSS MARGIN TAX (TCOS ln "&amp;'SWT TCOS'!B191&amp;") "</f>
        <v xml:space="preserve">REVENUE REQUIREMENT BEFORE TEXAS GROSS MARGIN TAX (TCOS ln 116) </v>
      </c>
      <c r="I38" s="1174">
        <f>+'SWT TCOS'!G188</f>
        <v>97123.358000000022</v>
      </c>
      <c r="J38" s="407"/>
      <c r="K38" s="1174">
        <f>+'SWT TCOS'!L188</f>
        <v>100832.38796693773</v>
      </c>
      <c r="L38" s="407"/>
    </row>
    <row r="39" spans="1:12" ht="15.5">
      <c r="A39" s="407"/>
      <c r="B39" s="57"/>
      <c r="I39" s="407"/>
      <c r="J39" s="407"/>
      <c r="K39" s="407"/>
      <c r="L39" s="407"/>
    </row>
    <row r="40" spans="1:12" ht="15.5">
      <c r="A40" s="670">
        <v>1</v>
      </c>
      <c r="B40" s="57" t="str">
        <f>"Apportionment Factor to Texas (ln"&amp;A53&amp;")"</f>
        <v>Apportionment Factor to Texas (ln12)</v>
      </c>
      <c r="I40" s="1175">
        <f>+$E53</f>
        <v>0</v>
      </c>
      <c r="J40" s="407"/>
      <c r="K40" s="1175">
        <f>+$E53</f>
        <v>0</v>
      </c>
      <c r="L40" s="407"/>
    </row>
    <row r="41" spans="1:12" ht="15.5">
      <c r="A41" s="670">
        <f t="shared" ref="A41:A46" si="0">+A40+1</f>
        <v>2</v>
      </c>
      <c r="B41" s="57" t="s">
        <v>39</v>
      </c>
      <c r="I41" s="79">
        <f>+I38*I40</f>
        <v>0</v>
      </c>
      <c r="J41" s="407"/>
      <c r="K41" s="79">
        <f>+K38*K40</f>
        <v>0</v>
      </c>
      <c r="L41" s="407"/>
    </row>
    <row r="42" spans="1:12" ht="15.5">
      <c r="A42" s="670">
        <f t="shared" si="0"/>
        <v>3</v>
      </c>
      <c r="B42" s="57" t="s">
        <v>645</v>
      </c>
      <c r="I42" s="1176">
        <v>0.22</v>
      </c>
      <c r="J42" s="407"/>
      <c r="K42" s="1177">
        <f>+I42</f>
        <v>0.22</v>
      </c>
      <c r="L42" s="407"/>
    </row>
    <row r="43" spans="1:12" ht="15.5">
      <c r="A43" s="670">
        <f t="shared" si="0"/>
        <v>4</v>
      </c>
      <c r="B43" s="57" t="s">
        <v>40</v>
      </c>
      <c r="I43" s="1178">
        <f>+I41*I42</f>
        <v>0</v>
      </c>
      <c r="J43" s="407"/>
      <c r="K43" s="1178">
        <f>+K41*K42</f>
        <v>0</v>
      </c>
      <c r="L43" s="407"/>
    </row>
    <row r="44" spans="1:12" ht="15.5">
      <c r="A44" s="670">
        <f t="shared" si="0"/>
        <v>5</v>
      </c>
      <c r="B44" s="57" t="s">
        <v>646</v>
      </c>
      <c r="I44" s="1177">
        <v>0.01</v>
      </c>
      <c r="J44" s="407"/>
      <c r="K44" s="1177">
        <f>+I44</f>
        <v>0.01</v>
      </c>
      <c r="L44" s="407"/>
    </row>
    <row r="45" spans="1:12" ht="15.5">
      <c r="A45" s="670">
        <f t="shared" si="0"/>
        <v>6</v>
      </c>
      <c r="B45" s="57" t="s">
        <v>41</v>
      </c>
      <c r="I45" s="289">
        <f>+I43*I44</f>
        <v>0</v>
      </c>
      <c r="J45" s="407"/>
      <c r="K45" s="289">
        <f>+K43*K44</f>
        <v>0</v>
      </c>
      <c r="L45" s="407"/>
    </row>
    <row r="46" spans="1:12" ht="15.5">
      <c r="A46" s="670">
        <f t="shared" si="0"/>
        <v>7</v>
      </c>
      <c r="B46" s="53" t="s">
        <v>42</v>
      </c>
      <c r="I46" s="305">
        <f>+ROUND((I45*I42*I40)/(1-I44)*I44,0)</f>
        <v>0</v>
      </c>
      <c r="J46" s="407"/>
      <c r="K46" s="305">
        <f>+ROUND((K45*K42*K40)/(1-K44)*K44,0)</f>
        <v>0</v>
      </c>
      <c r="L46" s="407"/>
    </row>
    <row r="47" spans="1:12" ht="15.5">
      <c r="A47" s="670"/>
      <c r="B47" s="53"/>
      <c r="D47" s="1179" t="str">
        <f>"   ((ln "&amp;A45&amp;" * ln "&amp;A42&amp;" * ln "&amp;A40&amp;")/(1- ln "&amp;A44&amp;") * ln "&amp;A44&amp;")"</f>
        <v xml:space="preserve">   ((ln 6 * ln 3 * ln 1)/(1- ln 5) * ln 5)</v>
      </c>
      <c r="I47" s="305"/>
      <c r="J47" s="407"/>
      <c r="K47" s="305"/>
      <c r="L47" s="407"/>
    </row>
    <row r="48" spans="1:12" ht="15.5">
      <c r="A48" s="670">
        <f>+A46+1</f>
        <v>8</v>
      </c>
      <c r="B48" s="53" t="s">
        <v>31</v>
      </c>
      <c r="I48" s="1180">
        <f>+I45+I46</f>
        <v>0</v>
      </c>
      <c r="J48" s="407"/>
      <c r="K48" s="1180">
        <f>+K45+K46</f>
        <v>0</v>
      </c>
      <c r="L48" s="407"/>
    </row>
    <row r="49" spans="1:12" ht="15.5">
      <c r="A49" s="670"/>
      <c r="I49" s="407"/>
      <c r="J49" s="407"/>
      <c r="K49" s="407"/>
      <c r="L49" s="407"/>
    </row>
    <row r="50" spans="1:12" ht="15.5">
      <c r="A50" s="670">
        <f>+A48+1</f>
        <v>9</v>
      </c>
      <c r="B50" s="317" t="s">
        <v>43</v>
      </c>
      <c r="C50" s="376"/>
      <c r="D50" s="61"/>
      <c r="E50" s="53"/>
    </row>
    <row r="51" spans="1:12" ht="15.5">
      <c r="A51" s="670">
        <f>+A50+1</f>
        <v>10</v>
      </c>
      <c r="B51" s="317" t="s">
        <v>44</v>
      </c>
      <c r="C51" s="376"/>
      <c r="D51" s="61"/>
      <c r="E51" s="1181">
        <v>0</v>
      </c>
      <c r="F51" s="279" t="s">
        <v>1</v>
      </c>
      <c r="G51" s="1598"/>
    </row>
    <row r="52" spans="1:12" ht="15.5">
      <c r="A52" s="670">
        <f>+A51+1</f>
        <v>11</v>
      </c>
      <c r="B52" s="317" t="s">
        <v>45</v>
      </c>
      <c r="C52" s="376"/>
      <c r="D52" s="61"/>
      <c r="E52" s="1181">
        <v>0</v>
      </c>
      <c r="F52" s="279" t="s">
        <v>1</v>
      </c>
    </row>
    <row r="53" spans="1:12" ht="15.5">
      <c r="A53" s="670">
        <f>+A52+1</f>
        <v>12</v>
      </c>
      <c r="B53" s="317" t="s">
        <v>46</v>
      </c>
      <c r="C53" s="376" t="str">
        <f>"(ln "&amp;A51&amp;" / ln "&amp;A52&amp;")"</f>
        <v>(ln 10 / ln 11)</v>
      </c>
      <c r="D53" s="61"/>
      <c r="E53" s="1182">
        <f>IF(E52=0,0,E51/E52)</f>
        <v>0</v>
      </c>
    </row>
  </sheetData>
  <mergeCells count="5">
    <mergeCell ref="A2:H2"/>
    <mergeCell ref="A3:H3"/>
    <mergeCell ref="A4:H4"/>
    <mergeCell ref="A5:G5"/>
    <mergeCell ref="I35:K35"/>
  </mergeCells>
  <printOptions horizontalCentered="1"/>
  <pageMargins left="0.25" right="0.25" top="1" bottom="0.25" header="0.25" footer="0.5"/>
  <pageSetup scale="61" orientation="landscape" horizontalDpi="1200" verticalDpi="1200" r:id="rId1"/>
  <headerFooter alignWithMargins="0">
    <oddHeader xml:space="preserve">&amp;R&amp;12AEP - SPP Transco Formula Rate
TCOS - WS K
Page: &amp;P of &amp;N
</oddHeader>
    <oddFooter xml:space="preserve">&amp;C &amp;R </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89"/>
  <sheetViews>
    <sheetView showGridLines="0" topLeftCell="A7" zoomScale="81" zoomScaleNormal="81" zoomScaleSheetLayoutView="75" zoomScalePageLayoutView="50" workbookViewId="0">
      <selection activeCell="E56" sqref="E56"/>
    </sheetView>
  </sheetViews>
  <sheetFormatPr defaultColWidth="9.1796875" defaultRowHeight="12.5"/>
  <cols>
    <col min="1" max="1" width="7.26953125" style="1862" customWidth="1"/>
    <col min="2" max="2" width="1.7265625" style="1855" customWidth="1"/>
    <col min="3" max="3" width="77" style="1855" customWidth="1"/>
    <col min="4" max="4" width="1.7265625" style="1855" customWidth="1"/>
    <col min="5" max="5" width="20.453125" style="1856" customWidth="1"/>
    <col min="6" max="6" width="1.7265625" style="1857" customWidth="1"/>
    <col min="7" max="7" width="20" style="1857" bestFit="1" customWidth="1"/>
    <col min="8" max="8" width="1.7265625" style="1857" customWidth="1"/>
    <col min="9" max="9" width="21.453125" style="1857" customWidth="1"/>
    <col min="10" max="10" width="1.7265625" style="1857" customWidth="1"/>
    <col min="11" max="11" width="17.7265625" style="1857" bestFit="1" customWidth="1"/>
    <col min="12" max="12" width="3.453125" style="1857" customWidth="1"/>
    <col min="13" max="13" width="21.26953125" style="1857" bestFit="1" customWidth="1"/>
    <col min="14" max="14" width="1.7265625" style="1857" hidden="1" customWidth="1"/>
    <col min="15" max="15" width="22.1796875" style="1857" customWidth="1"/>
    <col min="16" max="20" width="9.1796875" style="1857"/>
    <col min="21" max="21" width="13" style="1857" customWidth="1"/>
    <col min="22" max="16384" width="9.1796875" style="1857"/>
  </cols>
  <sheetData>
    <row r="1" spans="1:29" ht="15.5">
      <c r="A1" s="1183"/>
    </row>
    <row r="2" spans="1:29" ht="18.75" customHeight="1">
      <c r="A2" s="1996" t="str">
        <f>+'SWT TCOS'!F4</f>
        <v xml:space="preserve">AEP West SPP Member Transmission Companies </v>
      </c>
      <c r="B2" s="1996"/>
      <c r="C2" s="1996"/>
      <c r="D2" s="1996"/>
      <c r="E2" s="1996"/>
      <c r="F2" s="1996"/>
      <c r="G2" s="1996"/>
      <c r="H2" s="1996"/>
      <c r="I2" s="1996"/>
      <c r="J2" s="1996"/>
      <c r="K2" s="1996"/>
      <c r="L2" s="1996"/>
      <c r="M2" s="1996"/>
    </row>
    <row r="3" spans="1:29" ht="18.75" customHeight="1">
      <c r="A3" s="2086" t="str">
        <f>+'SWT WS A-1 - Plant'!A3</f>
        <v xml:space="preserve">Actual / Projected 2019 Rate Year Cost of Service Formula Rate </v>
      </c>
      <c r="B3" s="2086"/>
      <c r="C3" s="2086"/>
      <c r="D3" s="2086"/>
      <c r="E3" s="2086"/>
      <c r="F3" s="2086"/>
      <c r="G3" s="2086"/>
      <c r="H3" s="2086"/>
      <c r="I3" s="2086"/>
      <c r="J3" s="2086"/>
      <c r="K3" s="2086"/>
      <c r="L3" s="2086"/>
      <c r="M3" s="2086"/>
    </row>
    <row r="4" spans="1:29" ht="18.75" customHeight="1">
      <c r="A4" s="2087" t="s">
        <v>116</v>
      </c>
      <c r="B4" s="2086"/>
      <c r="C4" s="2086"/>
      <c r="D4" s="2086"/>
      <c r="E4" s="2086"/>
      <c r="F4" s="2086"/>
      <c r="G4" s="2086"/>
      <c r="H4" s="2086"/>
      <c r="I4" s="2086"/>
      <c r="J4" s="2086"/>
      <c r="K4" s="2086"/>
      <c r="L4" s="2086"/>
      <c r="M4" s="2086"/>
    </row>
    <row r="5" spans="1:29" ht="18" customHeight="1">
      <c r="A5" s="1997" t="str">
        <f>+'SWT TCOS'!F8</f>
        <v>AEP SOUTHWESTERN TRANSMISSION COMPANY</v>
      </c>
      <c r="B5" s="1997"/>
      <c r="C5" s="1997"/>
      <c r="D5" s="1997"/>
      <c r="E5" s="1997"/>
      <c r="F5" s="1997"/>
      <c r="G5" s="1997"/>
      <c r="H5" s="1997"/>
      <c r="I5" s="1997"/>
      <c r="J5" s="1997"/>
      <c r="K5" s="1997"/>
      <c r="L5" s="1997"/>
      <c r="M5" s="1997"/>
    </row>
    <row r="6" spans="1:29" ht="18" customHeight="1">
      <c r="A6" s="2051"/>
      <c r="B6" s="2051"/>
      <c r="C6" s="2051"/>
      <c r="D6" s="2051"/>
      <c r="E6" s="2051"/>
      <c r="F6" s="2051"/>
      <c r="G6" s="2051"/>
      <c r="H6" s="2051"/>
      <c r="I6" s="2051"/>
      <c r="J6" s="2051"/>
      <c r="K6" s="2051"/>
      <c r="L6" s="2051"/>
      <c r="M6" s="2051"/>
    </row>
    <row r="7" spans="1:29" ht="18" customHeight="1">
      <c r="A7" s="2050"/>
      <c r="B7" s="2050"/>
      <c r="C7" s="2050"/>
      <c r="D7" s="2050"/>
      <c r="E7" s="2050"/>
      <c r="F7" s="2050"/>
      <c r="G7" s="2050"/>
      <c r="H7" s="2050"/>
      <c r="I7" s="2050"/>
      <c r="J7" s="2050"/>
      <c r="K7" s="2050"/>
      <c r="L7" s="2050"/>
      <c r="M7" s="2050"/>
    </row>
    <row r="8" spans="1:29" ht="18" customHeight="1">
      <c r="A8" s="943"/>
      <c r="B8" s="943"/>
      <c r="C8" s="943"/>
      <c r="D8" s="943"/>
      <c r="E8" s="943"/>
      <c r="F8" s="943"/>
      <c r="G8" s="943"/>
      <c r="H8" s="943"/>
      <c r="I8" s="943"/>
      <c r="J8" s="943"/>
      <c r="K8" s="943"/>
      <c r="L8" s="943"/>
      <c r="M8" s="943"/>
    </row>
    <row r="9" spans="1:29" ht="19.5" customHeight="1">
      <c r="A9" s="1187"/>
      <c r="B9" s="1188"/>
      <c r="C9" s="538" t="s">
        <v>300</v>
      </c>
      <c r="E9" s="538" t="s">
        <v>301</v>
      </c>
      <c r="G9" s="538" t="s">
        <v>302</v>
      </c>
      <c r="I9" s="538" t="s">
        <v>303</v>
      </c>
      <c r="K9" s="538" t="s">
        <v>228</v>
      </c>
      <c r="M9" s="538" t="s">
        <v>229</v>
      </c>
    </row>
    <row r="10" spans="1:29" ht="18">
      <c r="A10" s="1189"/>
      <c r="B10" s="1190"/>
      <c r="C10" s="1190"/>
      <c r="D10" s="1190"/>
      <c r="E10" s="279"/>
      <c r="F10" s="279"/>
      <c r="G10" s="279"/>
      <c r="H10" s="279"/>
      <c r="I10" s="279"/>
      <c r="J10" s="279"/>
      <c r="K10" s="279"/>
      <c r="L10" s="279"/>
      <c r="M10" s="279"/>
      <c r="Q10" s="670"/>
      <c r="R10" s="670"/>
      <c r="S10" s="670"/>
      <c r="T10" s="670"/>
      <c r="U10" s="670"/>
      <c r="V10" s="670"/>
      <c r="W10" s="670"/>
      <c r="X10" s="670"/>
      <c r="Y10" s="670"/>
      <c r="Z10" s="670"/>
      <c r="AA10" s="670"/>
      <c r="AB10" s="670"/>
      <c r="AC10" s="670"/>
    </row>
    <row r="11" spans="1:29" ht="18">
      <c r="A11" s="1189" t="s">
        <v>307</v>
      </c>
      <c r="B11" s="1190"/>
      <c r="C11" s="1190"/>
      <c r="D11" s="1190"/>
      <c r="E11" s="1191" t="s">
        <v>257</v>
      </c>
      <c r="F11" s="1189"/>
      <c r="G11" s="1189"/>
      <c r="H11" s="1189"/>
      <c r="I11" s="1189"/>
      <c r="J11" s="1189"/>
      <c r="K11" s="1192"/>
      <c r="L11" s="1192"/>
      <c r="M11" s="1193"/>
    </row>
    <row r="12" spans="1:29" ht="18">
      <c r="A12" s="1194" t="s">
        <v>256</v>
      </c>
      <c r="B12" s="1190"/>
      <c r="C12" s="1194" t="s">
        <v>389</v>
      </c>
      <c r="D12" s="1190"/>
      <c r="E12" s="1195" t="s">
        <v>319</v>
      </c>
      <c r="F12" s="1189"/>
      <c r="G12" s="1194" t="s">
        <v>390</v>
      </c>
      <c r="H12" s="1189"/>
      <c r="I12" s="1194" t="s">
        <v>299</v>
      </c>
      <c r="J12" s="1189"/>
      <c r="K12" s="1196" t="s">
        <v>317</v>
      </c>
      <c r="L12" s="1197"/>
      <c r="M12" s="1196" t="s">
        <v>391</v>
      </c>
    </row>
    <row r="13" spans="1:29" ht="17.5">
      <c r="A13" s="1198"/>
      <c r="B13" s="1188"/>
      <c r="C13" s="1199"/>
      <c r="D13" s="1199"/>
      <c r="E13" s="1199"/>
      <c r="F13" s="1199"/>
      <c r="G13" s="1199"/>
      <c r="H13" s="1199"/>
      <c r="I13" s="1199"/>
      <c r="J13" s="1199"/>
      <c r="K13" s="1200"/>
      <c r="L13" s="1200"/>
    </row>
    <row r="14" spans="1:29" ht="17.5">
      <c r="A14" s="1187"/>
      <c r="B14" s="1188"/>
      <c r="C14" s="1201"/>
      <c r="D14" s="1188"/>
      <c r="E14" s="1202"/>
      <c r="F14" s="1203"/>
      <c r="G14" s="1203"/>
      <c r="H14" s="1203"/>
      <c r="I14" s="1202"/>
      <c r="J14" s="1203"/>
      <c r="K14" s="1200"/>
      <c r="L14" s="1200"/>
    </row>
    <row r="15" spans="1:29" ht="17.5">
      <c r="A15" s="1187">
        <v>1</v>
      </c>
      <c r="B15" s="1188"/>
      <c r="C15" s="1204" t="s">
        <v>394</v>
      </c>
      <c r="D15" s="1188"/>
      <c r="E15" s="1200"/>
      <c r="F15" s="1200"/>
      <c r="G15" s="1205"/>
      <c r="H15" s="1205"/>
      <c r="I15" s="1205"/>
      <c r="J15" s="1205"/>
      <c r="K15" s="1205"/>
      <c r="L15" s="1205"/>
      <c r="M15" s="1205"/>
    </row>
    <row r="16" spans="1:29" ht="17.5">
      <c r="A16" s="1187">
        <f>+A15+1</f>
        <v>2</v>
      </c>
      <c r="B16" s="1188"/>
      <c r="C16" s="1858"/>
      <c r="D16" s="1188"/>
      <c r="E16" s="1858"/>
      <c r="F16" s="1200"/>
      <c r="G16" s="1858"/>
      <c r="H16" s="1858"/>
      <c r="I16" s="1858"/>
      <c r="J16" s="1858"/>
      <c r="K16" s="1858"/>
      <c r="L16" s="1858"/>
      <c r="M16" s="1858">
        <f>+E16</f>
        <v>0</v>
      </c>
    </row>
    <row r="17" spans="1:25" ht="17.5">
      <c r="A17" s="1187">
        <f>+A16+1</f>
        <v>3</v>
      </c>
      <c r="B17" s="1188"/>
      <c r="C17" s="1858"/>
      <c r="D17" s="1188"/>
      <c r="E17" s="1858"/>
      <c r="F17" s="1200"/>
      <c r="G17" s="1858"/>
      <c r="H17" s="1858"/>
      <c r="I17" s="1858"/>
      <c r="J17" s="1858"/>
      <c r="K17" s="1858"/>
      <c r="L17" s="1858"/>
      <c r="M17" s="1858"/>
    </row>
    <row r="18" spans="1:25" ht="17.5">
      <c r="A18" s="1187"/>
      <c r="B18" s="1188"/>
      <c r="C18" s="1192"/>
      <c r="D18" s="1188"/>
      <c r="E18" s="1207"/>
      <c r="F18" s="1200"/>
      <c r="G18" s="1207"/>
      <c r="H18" s="1207"/>
      <c r="I18" s="1207"/>
      <c r="J18" s="1207"/>
      <c r="K18" s="1207"/>
      <c r="L18" s="1207"/>
      <c r="M18" s="1207"/>
      <c r="O18" s="1859"/>
    </row>
    <row r="19" spans="1:25" ht="17.5">
      <c r="A19" s="1187">
        <f>+A17+1</f>
        <v>4</v>
      </c>
      <c r="B19" s="1188"/>
      <c r="C19" s="1204" t="s">
        <v>395</v>
      </c>
      <c r="D19" s="1188"/>
      <c r="E19" s="1858"/>
      <c r="F19" s="1200"/>
      <c r="G19" s="1858"/>
      <c r="H19" s="1858"/>
      <c r="I19" s="1858"/>
      <c r="J19" s="1858"/>
      <c r="K19" s="1858"/>
      <c r="L19" s="1858"/>
      <c r="M19" s="1858"/>
      <c r="O19" s="132"/>
    </row>
    <row r="20" spans="1:25" ht="17.5">
      <c r="A20" s="1187">
        <f>+A19+1</f>
        <v>5</v>
      </c>
      <c r="B20" s="1188"/>
      <c r="C20" s="1858"/>
      <c r="D20" s="1188"/>
      <c r="E20" s="1858"/>
      <c r="F20" s="1203"/>
      <c r="G20" s="1858">
        <f>+E20</f>
        <v>0</v>
      </c>
      <c r="H20" s="1858"/>
      <c r="I20" s="1858"/>
      <c r="J20" s="1858"/>
      <c r="K20" s="1858"/>
      <c r="L20" s="1858"/>
      <c r="M20" s="1858"/>
      <c r="O20" s="132"/>
      <c r="P20" s="279"/>
      <c r="Q20" s="279"/>
      <c r="R20" s="279"/>
      <c r="S20" s="279"/>
      <c r="T20" s="279"/>
      <c r="U20" s="279"/>
      <c r="V20" s="279"/>
      <c r="W20" s="279"/>
      <c r="X20" s="279"/>
      <c r="Y20" s="279"/>
    </row>
    <row r="21" spans="1:25" ht="17.5">
      <c r="A21" s="1187">
        <f>+A20+1</f>
        <v>6</v>
      </c>
      <c r="B21" s="1188"/>
      <c r="C21" s="1858"/>
      <c r="D21" s="1188"/>
      <c r="E21" s="1858"/>
      <c r="F21" s="1200"/>
      <c r="G21" s="1858">
        <f>+E21</f>
        <v>0</v>
      </c>
      <c r="H21" s="1858"/>
      <c r="I21" s="1858"/>
      <c r="J21" s="1858"/>
      <c r="K21" s="1858"/>
      <c r="L21" s="1858"/>
      <c r="M21" s="1858"/>
      <c r="O21" s="132"/>
      <c r="P21" s="279"/>
      <c r="Q21" s="279"/>
      <c r="R21" s="279"/>
      <c r="S21" s="279"/>
      <c r="T21" s="279"/>
      <c r="U21" s="279"/>
      <c r="V21" s="279"/>
      <c r="W21" s="279"/>
      <c r="X21" s="279"/>
      <c r="Y21" s="279"/>
    </row>
    <row r="22" spans="1:25" ht="17.5">
      <c r="A22" s="1187">
        <f>+A21+1</f>
        <v>7</v>
      </c>
      <c r="B22" s="1188"/>
      <c r="C22" s="1860"/>
      <c r="D22" s="1188"/>
      <c r="E22" s="1860"/>
      <c r="F22" s="1203"/>
      <c r="G22" s="1858"/>
      <c r="H22" s="1858"/>
      <c r="I22" s="1858"/>
      <c r="J22" s="1858"/>
      <c r="K22" s="1858"/>
      <c r="L22" s="1858"/>
      <c r="M22" s="1860"/>
      <c r="O22" s="132"/>
      <c r="P22" s="279"/>
      <c r="Q22" s="279"/>
      <c r="R22" s="279"/>
      <c r="S22" s="279"/>
      <c r="T22" s="279"/>
      <c r="U22" s="279"/>
      <c r="V22" s="279"/>
      <c r="W22" s="279"/>
      <c r="X22" s="279"/>
      <c r="Y22" s="279"/>
    </row>
    <row r="23" spans="1:25" ht="17.5">
      <c r="A23" s="1187">
        <f>+A22+1</f>
        <v>8</v>
      </c>
      <c r="B23" s="1188"/>
      <c r="C23" s="1858"/>
      <c r="D23" s="1188"/>
      <c r="E23" s="1858"/>
      <c r="F23" s="1200"/>
      <c r="G23" s="1858"/>
      <c r="H23" s="1858"/>
      <c r="I23" s="1858"/>
      <c r="J23" s="1858"/>
      <c r="K23" s="1858"/>
      <c r="L23" s="1858"/>
      <c r="M23" s="1858"/>
      <c r="O23" s="132"/>
      <c r="P23" s="279"/>
      <c r="Q23" s="279"/>
      <c r="R23" s="279"/>
      <c r="S23" s="279"/>
      <c r="T23" s="279"/>
      <c r="U23" s="279"/>
      <c r="V23" s="279"/>
      <c r="W23" s="279"/>
      <c r="X23" s="279"/>
      <c r="Y23" s="279"/>
    </row>
    <row r="24" spans="1:25" ht="17.5">
      <c r="A24" s="1187">
        <f>+A23+1</f>
        <v>9</v>
      </c>
      <c r="B24" s="1188"/>
      <c r="C24" s="1858"/>
      <c r="D24" s="1188"/>
      <c r="E24" s="1858"/>
      <c r="F24" s="1200"/>
      <c r="G24" s="1858"/>
      <c r="H24" s="1858"/>
      <c r="I24" s="1858"/>
      <c r="J24" s="1858"/>
      <c r="K24" s="1858"/>
      <c r="L24" s="1858"/>
      <c r="M24" s="1858">
        <f>+E24</f>
        <v>0</v>
      </c>
      <c r="O24" s="132"/>
      <c r="P24" s="279"/>
      <c r="Q24" s="279"/>
      <c r="R24" s="279"/>
      <c r="S24" s="279"/>
      <c r="T24" s="279"/>
      <c r="U24" s="279"/>
      <c r="V24" s="279"/>
      <c r="W24" s="279"/>
      <c r="X24" s="279"/>
      <c r="Y24" s="279"/>
    </row>
    <row r="25" spans="1:25" ht="17.5">
      <c r="A25" s="1187"/>
      <c r="B25" s="1188"/>
      <c r="C25" s="1192"/>
      <c r="D25" s="1188"/>
      <c r="E25" s="1207"/>
      <c r="F25" s="1200"/>
      <c r="G25" s="1207"/>
      <c r="H25" s="1207"/>
      <c r="I25" s="1207"/>
      <c r="J25" s="1207"/>
      <c r="K25" s="1207"/>
      <c r="L25" s="1207"/>
      <c r="M25" s="1207"/>
      <c r="O25" s="132"/>
      <c r="P25" s="279"/>
      <c r="Q25" s="279"/>
      <c r="R25" s="279"/>
      <c r="S25" s="279"/>
      <c r="T25" s="279"/>
      <c r="U25" s="279"/>
      <c r="V25" s="279"/>
      <c r="W25" s="279"/>
      <c r="X25" s="279"/>
      <c r="Y25" s="279"/>
    </row>
    <row r="26" spans="1:25" ht="17.5">
      <c r="A26" s="1187">
        <f>+A24+1</f>
        <v>10</v>
      </c>
      <c r="B26" s="1188"/>
      <c r="C26" s="1204" t="s">
        <v>396</v>
      </c>
      <c r="D26" s="1188"/>
      <c r="E26" s="1207"/>
      <c r="F26" s="1200"/>
      <c r="G26" s="1207"/>
      <c r="H26" s="1207"/>
      <c r="I26" s="1207"/>
      <c r="J26" s="1207"/>
      <c r="K26" s="1207"/>
      <c r="L26" s="1207"/>
      <c r="M26" s="1207"/>
      <c r="O26" s="279"/>
      <c r="P26" s="279"/>
      <c r="Q26" s="279"/>
      <c r="R26" s="279"/>
      <c r="S26" s="279"/>
      <c r="T26" s="279"/>
      <c r="U26" s="279"/>
      <c r="V26" s="279"/>
      <c r="W26" s="279"/>
      <c r="X26" s="279"/>
      <c r="Y26" s="279"/>
    </row>
    <row r="27" spans="1:25" ht="17.5">
      <c r="A27" s="1187">
        <f>+A26+1</f>
        <v>11</v>
      </c>
      <c r="B27" s="1188"/>
      <c r="C27" s="1858"/>
      <c r="D27" s="1188"/>
      <c r="E27" s="1858"/>
      <c r="F27" s="1200"/>
      <c r="G27" s="1858"/>
      <c r="H27" s="1858"/>
      <c r="I27" s="1858">
        <f>+E27</f>
        <v>0</v>
      </c>
      <c r="J27" s="1858"/>
      <c r="K27" s="1858"/>
      <c r="L27" s="1858"/>
      <c r="M27" s="1858"/>
      <c r="O27" s="279"/>
      <c r="P27" s="279"/>
      <c r="Q27" s="279"/>
      <c r="R27" s="279"/>
      <c r="S27" s="279"/>
      <c r="T27" s="279"/>
      <c r="U27" s="279"/>
      <c r="V27" s="279"/>
      <c r="W27" s="279"/>
      <c r="X27" s="279"/>
      <c r="Y27" s="279"/>
    </row>
    <row r="28" spans="1:25" ht="17.5">
      <c r="A28" s="1187">
        <f>+A27+1</f>
        <v>12</v>
      </c>
      <c r="B28" s="1188"/>
      <c r="C28" s="1858"/>
      <c r="D28" s="1188"/>
      <c r="E28" s="1858"/>
      <c r="F28" s="1200"/>
      <c r="G28" s="1858"/>
      <c r="H28" s="1858"/>
      <c r="I28" s="1858">
        <f>+E28</f>
        <v>0</v>
      </c>
      <c r="J28" s="1858"/>
      <c r="K28" s="1858"/>
      <c r="L28" s="1858"/>
      <c r="M28" s="1858"/>
      <c r="O28" s="279"/>
      <c r="P28" s="279"/>
      <c r="Q28" s="279"/>
      <c r="R28" s="279"/>
      <c r="S28" s="279"/>
      <c r="T28" s="279"/>
      <c r="U28" s="279"/>
      <c r="V28" s="279"/>
      <c r="W28" s="279"/>
      <c r="X28" s="279"/>
      <c r="Y28" s="279"/>
    </row>
    <row r="29" spans="1:25" ht="17.5">
      <c r="A29" s="1187">
        <f>+A28+1</f>
        <v>13</v>
      </c>
      <c r="B29" s="1188"/>
      <c r="C29" s="1858"/>
      <c r="D29" s="1188"/>
      <c r="E29" s="1858"/>
      <c r="F29" s="1200"/>
      <c r="G29" s="1858"/>
      <c r="H29" s="1858"/>
      <c r="I29" s="1858">
        <f>+E29</f>
        <v>0</v>
      </c>
      <c r="J29" s="1858"/>
      <c r="K29" s="1858"/>
      <c r="L29" s="1858"/>
      <c r="M29" s="1858"/>
      <c r="O29" s="279"/>
      <c r="P29" s="279"/>
      <c r="Q29" s="279"/>
      <c r="R29" s="279"/>
      <c r="S29" s="279"/>
      <c r="T29" s="279"/>
      <c r="U29" s="279"/>
      <c r="V29" s="279"/>
      <c r="W29" s="279"/>
      <c r="X29" s="279"/>
      <c r="Y29" s="279"/>
    </row>
    <row r="30" spans="1:25" ht="17.5">
      <c r="A30" s="1187">
        <f>+A29+1</f>
        <v>14</v>
      </c>
      <c r="B30" s="1188"/>
      <c r="C30" s="1860"/>
      <c r="D30" s="1188"/>
      <c r="E30" s="1860"/>
      <c r="F30" s="1203"/>
      <c r="G30" s="1858"/>
      <c r="H30" s="1858"/>
      <c r="I30" s="1858"/>
      <c r="J30" s="1858"/>
      <c r="K30" s="1858"/>
      <c r="L30" s="1858"/>
      <c r="M30" s="1860"/>
      <c r="O30" s="279"/>
      <c r="P30" s="279"/>
      <c r="Q30" s="279"/>
      <c r="R30" s="279"/>
      <c r="S30" s="279"/>
      <c r="T30" s="279"/>
      <c r="U30" s="279"/>
      <c r="V30" s="279"/>
      <c r="W30" s="279"/>
      <c r="X30" s="279"/>
      <c r="Y30" s="279"/>
    </row>
    <row r="31" spans="1:25" ht="17.5">
      <c r="A31" s="1187" t="s">
        <v>253</v>
      </c>
      <c r="B31" s="1188"/>
      <c r="C31" s="1200"/>
      <c r="D31" s="1188"/>
      <c r="E31" s="1207"/>
      <c r="F31" s="1200"/>
      <c r="G31" s="1207"/>
      <c r="H31" s="1207"/>
      <c r="I31" s="1207"/>
      <c r="J31" s="1207"/>
      <c r="K31" s="1207"/>
      <c r="L31" s="1207"/>
      <c r="M31" s="1207"/>
      <c r="O31" s="279"/>
      <c r="P31" s="279"/>
      <c r="Q31" s="279"/>
      <c r="R31" s="279"/>
      <c r="S31" s="279"/>
      <c r="T31" s="279"/>
      <c r="U31" s="279"/>
      <c r="V31" s="279"/>
      <c r="W31" s="279"/>
      <c r="X31" s="279"/>
      <c r="Y31" s="279"/>
    </row>
    <row r="32" spans="1:25" ht="17.5">
      <c r="A32" s="1187">
        <f>+A30+1</f>
        <v>15</v>
      </c>
      <c r="B32" s="1188"/>
      <c r="C32" s="1204" t="s">
        <v>62</v>
      </c>
      <c r="D32" s="1188"/>
      <c r="E32" s="1207"/>
      <c r="F32" s="1200"/>
      <c r="G32" s="1207"/>
      <c r="H32" s="1207"/>
      <c r="I32" s="1207"/>
      <c r="J32" s="1207"/>
      <c r="K32" s="1207"/>
      <c r="L32" s="1207"/>
      <c r="M32" s="1207"/>
      <c r="O32" s="279"/>
      <c r="P32" s="279"/>
      <c r="Q32" s="279"/>
      <c r="R32" s="279"/>
      <c r="S32" s="279"/>
      <c r="T32" s="279"/>
      <c r="U32" s="279"/>
      <c r="V32" s="279"/>
      <c r="W32" s="279"/>
      <c r="X32" s="279"/>
      <c r="Y32" s="279"/>
    </row>
    <row r="33" spans="1:25" ht="17.5">
      <c r="A33" s="1187">
        <f>A32+1</f>
        <v>16</v>
      </c>
      <c r="B33" s="1188"/>
      <c r="C33" s="575"/>
      <c r="D33" s="1188"/>
      <c r="E33" s="1858"/>
      <c r="F33" s="1200"/>
      <c r="G33" s="1858"/>
      <c r="H33" s="1858"/>
      <c r="I33" s="1858"/>
      <c r="J33" s="1858"/>
      <c r="K33" s="1858"/>
      <c r="L33" s="1858"/>
      <c r="M33" s="1858">
        <f>+E33</f>
        <v>0</v>
      </c>
      <c r="O33" s="279"/>
      <c r="P33" s="279"/>
      <c r="Q33" s="279"/>
      <c r="R33" s="279"/>
      <c r="S33" s="279"/>
      <c r="T33" s="279"/>
      <c r="U33" s="279"/>
      <c r="V33" s="279"/>
      <c r="W33" s="279"/>
      <c r="X33" s="279"/>
      <c r="Y33" s="279"/>
    </row>
    <row r="34" spans="1:25" ht="17.5">
      <c r="A34" s="1187">
        <f>A33+1</f>
        <v>17</v>
      </c>
      <c r="B34" s="1188"/>
      <c r="C34" s="575"/>
      <c r="D34" s="1188"/>
      <c r="E34" s="1858"/>
      <c r="F34" s="1200"/>
      <c r="G34" s="1858"/>
      <c r="H34" s="1858"/>
      <c r="I34" s="1858"/>
      <c r="J34" s="1858"/>
      <c r="K34" s="1858"/>
      <c r="L34" s="1858"/>
      <c r="M34" s="1858"/>
      <c r="O34" s="279"/>
      <c r="P34" s="279"/>
      <c r="Q34" s="279"/>
      <c r="R34" s="279"/>
      <c r="S34" s="279"/>
      <c r="T34" s="279"/>
      <c r="U34" s="279"/>
      <c r="V34" s="279"/>
      <c r="W34" s="279"/>
      <c r="X34" s="279"/>
      <c r="Y34" s="279"/>
    </row>
    <row r="35" spans="1:25" ht="17.5">
      <c r="A35" s="1187">
        <f>+A34+1</f>
        <v>18</v>
      </c>
      <c r="B35" s="1188"/>
      <c r="C35" s="575"/>
      <c r="D35" s="1188"/>
      <c r="E35" s="1858"/>
      <c r="F35" s="1200"/>
      <c r="G35" s="1858"/>
      <c r="H35" s="1858"/>
      <c r="I35" s="1858"/>
      <c r="J35" s="1858"/>
      <c r="K35" s="1858"/>
      <c r="L35" s="1858"/>
      <c r="M35" s="1858"/>
      <c r="O35" s="279"/>
      <c r="P35" s="279"/>
      <c r="Q35" s="279"/>
      <c r="R35" s="279"/>
      <c r="S35" s="279"/>
      <c r="T35" s="279"/>
      <c r="U35" s="279"/>
      <c r="V35" s="279"/>
      <c r="W35" s="279"/>
      <c r="X35" s="279"/>
      <c r="Y35" s="279"/>
    </row>
    <row r="36" spans="1:25" ht="17.5">
      <c r="A36" s="1187"/>
      <c r="B36" s="1188"/>
      <c r="C36" s="1200"/>
      <c r="D36" s="1188"/>
      <c r="E36" s="1207"/>
      <c r="F36" s="1200"/>
      <c r="G36" s="1207"/>
      <c r="H36" s="1207"/>
      <c r="I36" s="1207"/>
      <c r="J36" s="1207"/>
      <c r="K36" s="1207"/>
      <c r="L36" s="1207"/>
      <c r="M36" s="1207"/>
      <c r="O36" s="279"/>
      <c r="P36" s="279"/>
      <c r="Q36" s="279"/>
      <c r="R36" s="279"/>
      <c r="S36" s="279"/>
      <c r="T36" s="279"/>
      <c r="U36" s="279"/>
      <c r="V36" s="279"/>
      <c r="W36" s="279"/>
      <c r="X36" s="279"/>
      <c r="Y36" s="279"/>
    </row>
    <row r="37" spans="1:25" ht="17.5">
      <c r="A37" s="1211">
        <f>+A35+1</f>
        <v>19</v>
      </c>
      <c r="B37" s="1212"/>
      <c r="C37" s="1204" t="s">
        <v>393</v>
      </c>
      <c r="D37" s="1213"/>
      <c r="E37" s="1207"/>
      <c r="F37" s="1200"/>
      <c r="G37" s="1207"/>
      <c r="H37" s="1207"/>
      <c r="I37" s="1207"/>
      <c r="J37" s="1207"/>
      <c r="K37" s="1207"/>
      <c r="L37" s="1207"/>
      <c r="M37" s="1207"/>
    </row>
    <row r="38" spans="1:25" ht="17.5">
      <c r="A38" s="1211">
        <f t="shared" ref="A38:A47" si="0">A37+1</f>
        <v>20</v>
      </c>
      <c r="B38" s="1212"/>
      <c r="C38" s="1214" t="s">
        <v>1024</v>
      </c>
      <c r="D38" s="1188"/>
      <c r="E38" s="1858">
        <v>0</v>
      </c>
      <c r="F38" s="1200"/>
      <c r="G38" s="1858"/>
      <c r="H38" s="1858"/>
      <c r="I38" s="1858"/>
      <c r="J38" s="1858"/>
      <c r="K38" s="1858"/>
      <c r="L38" s="1858"/>
      <c r="M38" s="1858">
        <f>+E38</f>
        <v>0</v>
      </c>
    </row>
    <row r="39" spans="1:25" ht="17.5">
      <c r="A39" s="1211">
        <f t="shared" si="0"/>
        <v>21</v>
      </c>
      <c r="B39" s="1212"/>
      <c r="C39" s="1214"/>
      <c r="D39" s="1188"/>
      <c r="E39" s="1858"/>
      <c r="F39" s="1200"/>
      <c r="G39" s="1858"/>
      <c r="H39" s="1858"/>
      <c r="I39" s="1858"/>
      <c r="J39" s="1858"/>
      <c r="K39" s="1858">
        <f t="shared" ref="K39:K44" si="1">+E39</f>
        <v>0</v>
      </c>
      <c r="L39" s="1858"/>
      <c r="M39" s="1858"/>
      <c r="O39" s="132"/>
    </row>
    <row r="40" spans="1:25" ht="17.5">
      <c r="A40" s="1211">
        <f t="shared" si="0"/>
        <v>22</v>
      </c>
      <c r="B40" s="1212"/>
      <c r="C40" s="1214"/>
      <c r="D40" s="1188"/>
      <c r="E40" s="1858"/>
      <c r="F40" s="1200"/>
      <c r="G40" s="1858"/>
      <c r="H40" s="1858"/>
      <c r="I40" s="1858"/>
      <c r="J40" s="1858"/>
      <c r="K40" s="1858">
        <f t="shared" si="1"/>
        <v>0</v>
      </c>
      <c r="L40" s="1858"/>
      <c r="M40" s="1858"/>
      <c r="O40" s="132"/>
    </row>
    <row r="41" spans="1:25" ht="17.5">
      <c r="A41" s="1211">
        <f t="shared" si="0"/>
        <v>23</v>
      </c>
      <c r="B41" s="1212"/>
      <c r="C41" s="1209"/>
      <c r="D41" s="1188"/>
      <c r="E41" s="1858"/>
      <c r="F41" s="1200"/>
      <c r="G41" s="1858"/>
      <c r="H41" s="1858"/>
      <c r="I41" s="1858"/>
      <c r="J41" s="1858"/>
      <c r="K41" s="1858">
        <f t="shared" si="1"/>
        <v>0</v>
      </c>
      <c r="L41" s="1858"/>
      <c r="M41" s="1858"/>
      <c r="O41" s="132"/>
    </row>
    <row r="42" spans="1:25" ht="17.5">
      <c r="A42" s="1211">
        <f t="shared" si="0"/>
        <v>24</v>
      </c>
      <c r="B42" s="1212"/>
      <c r="C42" s="1209"/>
      <c r="D42" s="1188"/>
      <c r="E42" s="1858"/>
      <c r="F42" s="1200"/>
      <c r="G42" s="1858"/>
      <c r="H42" s="1858"/>
      <c r="I42" s="1858"/>
      <c r="J42" s="1858"/>
      <c r="K42" s="1858">
        <f t="shared" si="1"/>
        <v>0</v>
      </c>
      <c r="L42" s="1858"/>
      <c r="M42" s="1858"/>
    </row>
    <row r="43" spans="1:25" ht="17.5">
      <c r="A43" s="1211">
        <f t="shared" si="0"/>
        <v>25</v>
      </c>
      <c r="B43" s="1212"/>
      <c r="C43" s="1209"/>
      <c r="D43" s="1188"/>
      <c r="E43" s="1858"/>
      <c r="F43" s="1200"/>
      <c r="G43" s="1858"/>
      <c r="H43" s="1858"/>
      <c r="I43" s="1858"/>
      <c r="J43" s="1858"/>
      <c r="K43" s="1858">
        <f t="shared" si="1"/>
        <v>0</v>
      </c>
      <c r="L43" s="1858"/>
      <c r="M43" s="1858"/>
    </row>
    <row r="44" spans="1:25" ht="17.5">
      <c r="A44" s="1211">
        <f t="shared" si="0"/>
        <v>26</v>
      </c>
      <c r="B44" s="1212"/>
      <c r="C44" s="1209"/>
      <c r="D44" s="1188"/>
      <c r="E44" s="1858"/>
      <c r="F44" s="1200"/>
      <c r="G44" s="1858"/>
      <c r="H44" s="1858"/>
      <c r="I44" s="1858"/>
      <c r="J44" s="1858"/>
      <c r="K44" s="1858">
        <f t="shared" si="1"/>
        <v>0</v>
      </c>
      <c r="L44" s="1858"/>
      <c r="M44" s="1858"/>
    </row>
    <row r="45" spans="1:25" ht="17.5">
      <c r="A45" s="1211">
        <f t="shared" si="0"/>
        <v>27</v>
      </c>
      <c r="B45" s="1212"/>
      <c r="C45" s="1209"/>
      <c r="D45" s="1188"/>
      <c r="E45" s="1858"/>
      <c r="F45" s="1200"/>
      <c r="G45" s="1858"/>
      <c r="H45" s="1858"/>
      <c r="I45" s="1858"/>
      <c r="J45" s="1858"/>
      <c r="K45" s="1858"/>
      <c r="L45" s="1858"/>
      <c r="M45" s="1858">
        <f>+E45</f>
        <v>0</v>
      </c>
      <c r="O45" s="132"/>
    </row>
    <row r="46" spans="1:25" ht="17.5">
      <c r="A46" s="1211">
        <f t="shared" si="0"/>
        <v>28</v>
      </c>
      <c r="B46" s="1188"/>
      <c r="C46" s="1209"/>
      <c r="D46" s="1188"/>
      <c r="E46" s="1858"/>
      <c r="F46" s="1200"/>
      <c r="G46" s="1858"/>
      <c r="H46" s="1858"/>
      <c r="I46" s="1858"/>
      <c r="J46" s="1858"/>
      <c r="K46" s="1858"/>
      <c r="L46" s="1858"/>
      <c r="M46" s="1858">
        <f>+E46</f>
        <v>0</v>
      </c>
      <c r="O46" s="132"/>
    </row>
    <row r="47" spans="1:25" ht="17.5">
      <c r="A47" s="1211">
        <f t="shared" si="0"/>
        <v>29</v>
      </c>
      <c r="B47" s="1188"/>
      <c r="C47" s="1209"/>
      <c r="D47" s="1188"/>
      <c r="E47" s="1858"/>
      <c r="F47" s="1200"/>
      <c r="G47" s="1858"/>
      <c r="H47" s="1858"/>
      <c r="I47" s="1858"/>
      <c r="J47" s="1858"/>
      <c r="K47" s="1858"/>
      <c r="L47" s="1858"/>
      <c r="M47" s="1858">
        <f>+E47</f>
        <v>0</v>
      </c>
      <c r="O47" s="132"/>
    </row>
    <row r="48" spans="1:25" ht="17.5">
      <c r="A48" s="1187">
        <f>A47+1</f>
        <v>30</v>
      </c>
      <c r="B48" s="1188"/>
      <c r="C48" s="1209"/>
      <c r="D48" s="1188"/>
      <c r="E48" s="1858"/>
      <c r="F48" s="1200"/>
      <c r="G48" s="1858"/>
      <c r="H48" s="1858"/>
      <c r="I48" s="1858"/>
      <c r="J48" s="1858"/>
      <c r="K48" s="1858">
        <f>+E48</f>
        <v>0</v>
      </c>
      <c r="L48" s="1858"/>
      <c r="M48" s="1858"/>
      <c r="O48" s="132"/>
    </row>
    <row r="49" spans="1:15" ht="17.5">
      <c r="A49" s="1187">
        <f>A48+1</f>
        <v>31</v>
      </c>
      <c r="B49" s="1188"/>
      <c r="C49" s="1209"/>
      <c r="D49" s="1188"/>
      <c r="E49" s="1858"/>
      <c r="F49" s="1200"/>
      <c r="G49" s="1858"/>
      <c r="H49" s="1858"/>
      <c r="I49" s="1858"/>
      <c r="J49" s="1858"/>
      <c r="K49" s="1858">
        <f>+E49</f>
        <v>0</v>
      </c>
      <c r="L49" s="1858"/>
      <c r="M49" s="1858"/>
      <c r="O49" s="132"/>
    </row>
    <row r="50" spans="1:15" ht="17.5">
      <c r="A50" s="1187">
        <f>A49+1</f>
        <v>32</v>
      </c>
      <c r="B50" s="1200"/>
      <c r="C50" s="1858"/>
      <c r="D50" s="1188"/>
      <c r="E50" s="1858"/>
      <c r="F50" s="1200"/>
      <c r="G50" s="1858"/>
      <c r="H50" s="1858"/>
      <c r="I50" s="1858"/>
      <c r="J50" s="1858"/>
      <c r="K50" s="1858">
        <f>+E50</f>
        <v>0</v>
      </c>
      <c r="L50" s="1858"/>
      <c r="M50" s="1858"/>
      <c r="O50" s="132"/>
    </row>
    <row r="51" spans="1:15" ht="17.5">
      <c r="A51" s="1187">
        <f>+A50+1</f>
        <v>33</v>
      </c>
      <c r="B51" s="1200"/>
      <c r="C51" s="1860"/>
      <c r="D51" s="1188"/>
      <c r="E51" s="1860"/>
      <c r="F51" s="1203"/>
      <c r="G51" s="1858"/>
      <c r="H51" s="1858"/>
      <c r="I51" s="1858"/>
      <c r="J51" s="1858"/>
      <c r="K51" s="1858"/>
      <c r="L51" s="1858"/>
      <c r="M51" s="1860"/>
      <c r="O51" s="132"/>
    </row>
    <row r="52" spans="1:15" ht="17.5">
      <c r="A52" s="1187">
        <f>+A51+1</f>
        <v>34</v>
      </c>
      <c r="B52" s="1200"/>
      <c r="C52" s="1858"/>
      <c r="D52" s="1188"/>
      <c r="E52" s="1858"/>
      <c r="F52" s="1200"/>
      <c r="G52" s="1858"/>
      <c r="H52" s="1858"/>
      <c r="I52" s="1858"/>
      <c r="J52" s="1858"/>
      <c r="K52" s="1858"/>
      <c r="L52" s="1858"/>
      <c r="M52" s="1858">
        <f>+E52</f>
        <v>0</v>
      </c>
    </row>
    <row r="53" spans="1:15" ht="16.5">
      <c r="A53" s="279"/>
      <c r="B53" s="279"/>
      <c r="C53" s="279"/>
      <c r="D53" s="279"/>
      <c r="E53" s="279"/>
      <c r="F53" s="1200"/>
      <c r="H53" s="1215"/>
      <c r="I53" s="1216"/>
      <c r="J53" s="1216"/>
      <c r="K53" s="1217"/>
      <c r="L53" s="1218"/>
      <c r="M53" s="1218"/>
    </row>
    <row r="54" spans="1:15" ht="18" thickBot="1">
      <c r="A54" s="1211">
        <f>+A52+1</f>
        <v>35</v>
      </c>
      <c r="B54" s="279"/>
      <c r="C54" s="1200" t="s">
        <v>392</v>
      </c>
      <c r="D54" s="279"/>
      <c r="E54" s="1219">
        <f>SUM(E16:E52)</f>
        <v>0</v>
      </c>
      <c r="F54" s="1200"/>
      <c r="G54" s="1219">
        <f>SUM(G16:G52)</f>
        <v>0</v>
      </c>
      <c r="H54" s="1215"/>
      <c r="I54" s="1219">
        <f>SUM(I16:I52)</f>
        <v>0</v>
      </c>
      <c r="J54" s="1216"/>
      <c r="K54" s="1219">
        <f>SUM(K16:K52)</f>
        <v>0</v>
      </c>
      <c r="L54" s="1218"/>
      <c r="M54" s="1219">
        <f>SUM(M16:M52)</f>
        <v>0</v>
      </c>
    </row>
    <row r="55" spans="1:15" ht="30" customHeight="1" thickTop="1">
      <c r="A55" s="279"/>
      <c r="B55" s="279"/>
      <c r="C55" s="1220" t="s">
        <v>139</v>
      </c>
      <c r="D55" s="1861"/>
      <c r="E55" s="1222">
        <v>0</v>
      </c>
      <c r="F55" s="1220"/>
      <c r="G55" s="1223"/>
      <c r="H55" s="1223"/>
      <c r="J55" s="1224"/>
      <c r="K55" s="1225"/>
      <c r="L55" s="1225"/>
      <c r="M55" s="1226" t="str">
        <f>IF(SUM(G54:M54)=E54,"","Error - allocations don’t match total")</f>
        <v/>
      </c>
    </row>
    <row r="57" spans="1:15" ht="13">
      <c r="C57" s="1228" t="str">
        <f>"NOTE:  As a check, the difference between the total from Ln "&amp;A54&amp;" above and the total on FF1 p.263 line 41(i)"</f>
        <v>NOTE:  As a check, the difference between the total from Ln 35 above and the total on FF1 p.263 line 41(i)</v>
      </c>
    </row>
    <row r="58" spans="1:15" ht="13">
      <c r="C58" s="1228" t="s">
        <v>118</v>
      </c>
    </row>
    <row r="60" spans="1:15">
      <c r="I60" s="1856"/>
    </row>
    <row r="188" spans="7:7" ht="13" thickBot="1"/>
    <row r="189" spans="7:7" ht="17" thickBot="1">
      <c r="G189" s="1229" t="e">
        <f>IF(#REF!&lt;&gt;0,+#REF!/#REF!*#REF!,0)</f>
        <v>#REF!</v>
      </c>
    </row>
  </sheetData>
  <mergeCells count="6">
    <mergeCell ref="A7:M7"/>
    <mergeCell ref="A2:M2"/>
    <mergeCell ref="A3:M3"/>
    <mergeCell ref="A4:M4"/>
    <mergeCell ref="A5:M5"/>
    <mergeCell ref="A6:M6"/>
  </mergeCells>
  <printOptions horizontalCentered="1"/>
  <pageMargins left="0.75" right="0.75" top="0.45833333333333298" bottom="0.25" header="0.65" footer="0.5"/>
  <pageSetup scale="20" orientation="portrait" horizontalDpi="1200" verticalDpi="1200" r:id="rId1"/>
  <headerFooter alignWithMargins="0">
    <oddHeader xml:space="preserve">&amp;R&amp;12AEP - SPP Transco  Formula Rate
TCOS - WS L
Page: &amp;P of &amp;N&amp;16
</oddHead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C67"/>
  <sheetViews>
    <sheetView topLeftCell="C1" zoomScale="70" zoomScaleNormal="70" zoomScalePageLayoutView="80" workbookViewId="0">
      <selection activeCell="Q6" sqref="Q6"/>
    </sheetView>
  </sheetViews>
  <sheetFormatPr defaultColWidth="9.1796875" defaultRowHeight="12.5"/>
  <cols>
    <col min="1" max="1" width="8" style="233" customWidth="1"/>
    <col min="2" max="2" width="5.81640625" style="227" customWidth="1"/>
    <col min="3" max="3" width="4.81640625" style="227" customWidth="1"/>
    <col min="4" max="4" width="44.453125" style="227" customWidth="1"/>
    <col min="5" max="5" width="14.453125" style="227" customWidth="1"/>
    <col min="6" max="7" width="11.26953125" style="227" customWidth="1"/>
    <col min="8" max="8" width="10.81640625" style="227" customWidth="1"/>
    <col min="9" max="9" width="11.81640625" style="227" customWidth="1"/>
    <col min="10" max="10" width="11.1796875" style="227" customWidth="1"/>
    <col min="11" max="11" width="11.26953125" style="227" customWidth="1"/>
    <col min="12" max="12" width="11.1796875" style="227" customWidth="1"/>
    <col min="13" max="13" width="12.54296875" style="227" customWidth="1"/>
    <col min="14" max="14" width="11.81640625" style="227" customWidth="1"/>
    <col min="15" max="15" width="11.54296875" style="227" customWidth="1"/>
    <col min="16" max="16" width="12.26953125" style="227" customWidth="1"/>
    <col min="17" max="17" width="11.7265625" style="227" customWidth="1"/>
    <col min="18" max="18" width="18.1796875" style="228" customWidth="1"/>
    <col min="19" max="16384" width="9.1796875" style="227"/>
  </cols>
  <sheetData>
    <row r="1" spans="1:19" ht="15.5">
      <c r="A1" s="131"/>
    </row>
    <row r="2" spans="1:19" ht="13">
      <c r="A2" s="227"/>
      <c r="B2" s="229" t="str">
        <f>+'OKT TCOS'!F4</f>
        <v xml:space="preserve">AEP West SPP Member Transmission Companies </v>
      </c>
      <c r="C2" s="229"/>
      <c r="D2" s="229"/>
      <c r="E2" s="229"/>
      <c r="F2" s="229"/>
      <c r="G2" s="229"/>
      <c r="H2" s="229"/>
      <c r="I2" s="229"/>
      <c r="J2" s="229"/>
      <c r="K2" s="229"/>
      <c r="L2" s="229"/>
      <c r="M2" s="229"/>
      <c r="N2" s="229"/>
      <c r="O2" s="229"/>
      <c r="P2" s="229"/>
      <c r="Q2" s="229"/>
    </row>
    <row r="3" spans="1:19" ht="13">
      <c r="A3" s="227"/>
      <c r="B3" s="229" t="str">
        <f>"Network Load for January Through December 2019"</f>
        <v>Network Load for January Through December 2019</v>
      </c>
      <c r="C3" s="229"/>
      <c r="D3" s="229"/>
      <c r="E3" s="229"/>
      <c r="F3" s="229"/>
      <c r="G3" s="229"/>
      <c r="H3" s="229"/>
      <c r="I3" s="229"/>
      <c r="J3" s="229"/>
      <c r="K3" s="229"/>
      <c r="L3" s="229"/>
      <c r="M3" s="229"/>
      <c r="N3" s="229"/>
      <c r="O3" s="229"/>
      <c r="P3" s="229"/>
      <c r="Q3" s="229"/>
    </row>
    <row r="4" spans="1:19" ht="13">
      <c r="A4" s="227"/>
      <c r="B4" s="230" t="s">
        <v>1077</v>
      </c>
      <c r="C4" s="231"/>
      <c r="D4" s="231"/>
      <c r="E4" s="231"/>
      <c r="F4" s="231"/>
      <c r="G4" s="231"/>
      <c r="H4" s="231"/>
      <c r="I4" s="231"/>
      <c r="J4" s="231"/>
      <c r="K4" s="231"/>
      <c r="L4" s="231"/>
      <c r="M4" s="231"/>
      <c r="N4" s="231"/>
      <c r="O4" s="231"/>
      <c r="P4" s="231"/>
      <c r="Q4" s="231"/>
    </row>
    <row r="5" spans="1:19" ht="13">
      <c r="A5" s="227"/>
      <c r="B5" s="229"/>
      <c r="C5" s="231"/>
      <c r="D5" s="231"/>
      <c r="E5" s="231"/>
      <c r="F5" s="231"/>
      <c r="G5" s="231"/>
      <c r="H5" s="231"/>
      <c r="I5" s="231"/>
      <c r="J5" s="231"/>
      <c r="K5" s="231"/>
      <c r="L5" s="231"/>
      <c r="M5" s="231"/>
      <c r="N5" s="231"/>
      <c r="O5" s="231"/>
      <c r="P5" s="231"/>
      <c r="Q5" s="231"/>
    </row>
    <row r="6" spans="1:19" ht="14.25" customHeight="1">
      <c r="A6" s="227"/>
      <c r="B6" s="232" t="s">
        <v>583</v>
      </c>
      <c r="C6" s="231"/>
      <c r="D6" s="231"/>
      <c r="E6" s="231"/>
      <c r="F6" s="231"/>
      <c r="G6" s="231"/>
      <c r="H6" s="231"/>
      <c r="I6" s="231"/>
      <c r="J6" s="231"/>
      <c r="K6" s="231"/>
      <c r="L6" s="231"/>
      <c r="M6" s="231"/>
      <c r="N6" s="231"/>
      <c r="O6" s="231"/>
      <c r="P6" s="231"/>
      <c r="Q6" s="231"/>
    </row>
    <row r="7" spans="1:19" ht="14.25" customHeight="1">
      <c r="A7" s="227"/>
      <c r="B7" s="232"/>
      <c r="C7" s="231"/>
      <c r="D7" s="231"/>
      <c r="E7" s="231"/>
      <c r="F7" s="231"/>
      <c r="G7" s="231"/>
      <c r="H7" s="231"/>
      <c r="I7" s="231"/>
      <c r="J7" s="231"/>
      <c r="K7" s="231"/>
      <c r="L7" s="231"/>
      <c r="M7" s="231"/>
      <c r="N7" s="231"/>
      <c r="O7" s="231"/>
      <c r="P7" s="231"/>
      <c r="Q7" s="231"/>
    </row>
    <row r="8" spans="1:19" ht="11.5" customHeight="1">
      <c r="B8" s="234"/>
      <c r="C8" s="235" t="s">
        <v>572</v>
      </c>
      <c r="D8" s="234"/>
      <c r="E8" s="234"/>
      <c r="F8" s="234"/>
      <c r="G8" s="234"/>
      <c r="H8" s="234"/>
      <c r="I8" s="234"/>
      <c r="J8" s="234"/>
      <c r="K8" s="234"/>
      <c r="L8" s="234"/>
      <c r="M8" s="234"/>
      <c r="N8" s="234"/>
      <c r="O8" s="234"/>
      <c r="P8" s="234"/>
      <c r="Q8" s="234"/>
    </row>
    <row r="9" spans="1:19" ht="11.5" customHeight="1">
      <c r="B9" s="234"/>
      <c r="C9" s="235"/>
      <c r="D9" s="234"/>
      <c r="E9" s="236" t="s">
        <v>321</v>
      </c>
      <c r="F9" s="236" t="s">
        <v>514</v>
      </c>
      <c r="G9" s="236" t="s">
        <v>322</v>
      </c>
      <c r="H9" s="236" t="s">
        <v>323</v>
      </c>
      <c r="I9" s="236" t="s">
        <v>324</v>
      </c>
      <c r="J9" s="236" t="s">
        <v>48</v>
      </c>
      <c r="K9" s="236" t="s">
        <v>325</v>
      </c>
      <c r="L9" s="236" t="s">
        <v>326</v>
      </c>
      <c r="M9" s="236" t="s">
        <v>328</v>
      </c>
      <c r="N9" s="236" t="s">
        <v>515</v>
      </c>
      <c r="O9" s="236" t="s">
        <v>516</v>
      </c>
      <c r="P9" s="236" t="s">
        <v>327</v>
      </c>
    </row>
    <row r="10" spans="1:19" ht="11.5" customHeight="1">
      <c r="C10" s="233"/>
      <c r="D10" s="237" t="s">
        <v>564</v>
      </c>
      <c r="E10" s="238">
        <v>43489</v>
      </c>
      <c r="F10" s="238">
        <v>43504</v>
      </c>
      <c r="G10" s="238">
        <v>43529</v>
      </c>
      <c r="H10" s="238">
        <v>43565</v>
      </c>
      <c r="I10" s="238">
        <v>43608</v>
      </c>
      <c r="J10" s="238">
        <v>43637</v>
      </c>
      <c r="K10" s="238">
        <v>43663</v>
      </c>
      <c r="L10" s="238">
        <v>43689</v>
      </c>
      <c r="M10" s="238">
        <v>43714</v>
      </c>
      <c r="N10" s="238">
        <v>43740</v>
      </c>
      <c r="O10" s="238">
        <v>43782</v>
      </c>
      <c r="P10" s="238">
        <v>43817</v>
      </c>
      <c r="R10" s="227"/>
      <c r="S10" s="239" t="s">
        <v>565</v>
      </c>
    </row>
    <row r="11" spans="1:19" ht="11.5" customHeight="1">
      <c r="A11" s="240" t="s">
        <v>566</v>
      </c>
      <c r="C11" s="233"/>
      <c r="D11" s="237" t="s">
        <v>567</v>
      </c>
      <c r="E11" s="241">
        <v>800</v>
      </c>
      <c r="F11" s="241">
        <v>800</v>
      </c>
      <c r="G11" s="241">
        <v>800</v>
      </c>
      <c r="H11" s="241">
        <v>1700</v>
      </c>
      <c r="I11" s="241">
        <v>1700</v>
      </c>
      <c r="J11" s="241">
        <v>1700</v>
      </c>
      <c r="K11" s="241">
        <v>1700</v>
      </c>
      <c r="L11" s="241">
        <v>1600</v>
      </c>
      <c r="M11" s="241">
        <v>1700</v>
      </c>
      <c r="N11" s="241">
        <v>1600</v>
      </c>
      <c r="O11" s="241">
        <v>800</v>
      </c>
      <c r="P11" s="241">
        <v>800</v>
      </c>
      <c r="R11" s="227"/>
      <c r="S11" s="239" t="s">
        <v>179</v>
      </c>
    </row>
    <row r="12" spans="1:19" ht="11.5" customHeight="1">
      <c r="A12" s="240"/>
      <c r="C12" s="233"/>
      <c r="D12" s="237"/>
      <c r="E12" s="242"/>
      <c r="F12" s="242" t="s">
        <v>253</v>
      </c>
      <c r="G12" s="242"/>
      <c r="H12" s="242"/>
      <c r="I12" s="242"/>
      <c r="J12" s="242"/>
      <c r="K12" s="242"/>
      <c r="L12" s="242"/>
      <c r="M12" s="242"/>
      <c r="N12" s="242"/>
      <c r="O12" s="242"/>
      <c r="P12" s="242"/>
      <c r="Q12" s="239"/>
      <c r="S12" s="239" t="s">
        <v>123</v>
      </c>
    </row>
    <row r="13" spans="1:19" ht="11.5" customHeight="1" thickBot="1">
      <c r="A13" s="233" t="s">
        <v>256</v>
      </c>
      <c r="B13" s="243" t="s">
        <v>568</v>
      </c>
      <c r="C13" s="244"/>
      <c r="D13" s="244"/>
      <c r="E13" s="233"/>
      <c r="F13" s="233"/>
      <c r="G13" s="233"/>
      <c r="H13" s="233"/>
      <c r="I13" s="233"/>
      <c r="J13" s="233"/>
      <c r="K13" s="233"/>
      <c r="L13" s="233"/>
      <c r="M13" s="233"/>
      <c r="N13" s="233"/>
      <c r="O13" s="233"/>
      <c r="P13" s="233"/>
      <c r="Q13" s="233"/>
      <c r="S13" s="228"/>
    </row>
    <row r="14" spans="1:19" s="245" customFormat="1" ht="11.5" customHeight="1">
      <c r="A14" s="233">
        <v>1</v>
      </c>
      <c r="C14" s="246" t="s">
        <v>1097</v>
      </c>
      <c r="D14" s="247"/>
      <c r="E14" s="247">
        <v>2561</v>
      </c>
      <c r="F14" s="247">
        <v>2792</v>
      </c>
      <c r="G14" s="247">
        <v>2805</v>
      </c>
      <c r="H14" s="247">
        <v>2574</v>
      </c>
      <c r="I14" s="247">
        <v>2970</v>
      </c>
      <c r="J14" s="247">
        <v>3724</v>
      </c>
      <c r="K14" s="247">
        <v>3923</v>
      </c>
      <c r="L14" s="247">
        <v>4089</v>
      </c>
      <c r="M14" s="247">
        <v>3731</v>
      </c>
      <c r="N14" s="247">
        <v>3527</v>
      </c>
      <c r="O14" s="247">
        <v>2569</v>
      </c>
      <c r="P14" s="247">
        <v>2599</v>
      </c>
      <c r="Q14" s="248">
        <f>ROUND(SUM(E14:P14)/12,1)</f>
        <v>3155.3</v>
      </c>
      <c r="R14" s="249">
        <f t="shared" ref="R14:R31" si="0">+Q14/Q$33</f>
        <v>0.36683136662210081</v>
      </c>
      <c r="S14" s="233">
        <f t="shared" ref="S14:S31" si="1">ROUND(Q14,0)</f>
        <v>3155</v>
      </c>
    </row>
    <row r="15" spans="1:19" s="245" customFormat="1" ht="11.5" customHeight="1">
      <c r="A15" s="233">
        <f>+A14+1</f>
        <v>2</v>
      </c>
      <c r="C15" s="246" t="s">
        <v>1098</v>
      </c>
      <c r="D15" s="247"/>
      <c r="E15" s="247">
        <v>2997</v>
      </c>
      <c r="F15" s="247">
        <v>2891</v>
      </c>
      <c r="G15" s="247">
        <v>2972</v>
      </c>
      <c r="H15" s="247">
        <v>2449</v>
      </c>
      <c r="I15" s="247">
        <v>3052</v>
      </c>
      <c r="J15" s="247">
        <v>3362</v>
      </c>
      <c r="K15" s="247">
        <v>3457</v>
      </c>
      <c r="L15" s="247">
        <v>3664</v>
      </c>
      <c r="M15" s="247">
        <v>3474</v>
      </c>
      <c r="N15" s="247">
        <v>3301</v>
      </c>
      <c r="O15" s="247">
        <v>2932</v>
      </c>
      <c r="P15" s="247">
        <v>2839</v>
      </c>
      <c r="Q15" s="248">
        <f t="shared" ref="Q15:Q31" si="2">ROUND(SUM(E15:P15)/12,1)</f>
        <v>3115.8</v>
      </c>
      <c r="R15" s="249">
        <f t="shared" si="0"/>
        <v>0.36223914433529036</v>
      </c>
      <c r="S15" s="233">
        <f t="shared" si="1"/>
        <v>3116</v>
      </c>
    </row>
    <row r="16" spans="1:19" s="245" customFormat="1" ht="11.5" customHeight="1">
      <c r="A16" s="233">
        <f t="shared" ref="A16:A33" si="3">+A15+1</f>
        <v>3</v>
      </c>
      <c r="C16" s="246" t="s">
        <v>1099</v>
      </c>
      <c r="D16" s="247"/>
      <c r="E16" s="247">
        <v>622</v>
      </c>
      <c r="F16" s="247">
        <v>673</v>
      </c>
      <c r="G16" s="247">
        <v>661</v>
      </c>
      <c r="H16" s="247">
        <v>375</v>
      </c>
      <c r="I16" s="247">
        <v>536</v>
      </c>
      <c r="J16" s="247">
        <v>629</v>
      </c>
      <c r="K16" s="247">
        <v>663</v>
      </c>
      <c r="L16" s="247">
        <v>705</v>
      </c>
      <c r="M16" s="247">
        <v>635</v>
      </c>
      <c r="N16" s="247">
        <v>602</v>
      </c>
      <c r="O16" s="247">
        <v>615</v>
      </c>
      <c r="P16" s="247">
        <v>614</v>
      </c>
      <c r="Q16" s="248">
        <f t="shared" si="2"/>
        <v>610.79999999999995</v>
      </c>
      <c r="R16" s="249">
        <f t="shared" si="0"/>
        <v>7.1010870197058651E-2</v>
      </c>
      <c r="S16" s="233">
        <f t="shared" si="1"/>
        <v>611</v>
      </c>
    </row>
    <row r="17" spans="1:19" s="245" customFormat="1" ht="11.5" customHeight="1">
      <c r="A17" s="233">
        <f t="shared" si="3"/>
        <v>4</v>
      </c>
      <c r="C17" s="246" t="s">
        <v>1100</v>
      </c>
      <c r="D17" s="247"/>
      <c r="E17" s="247">
        <v>143</v>
      </c>
      <c r="F17" s="247">
        <v>150</v>
      </c>
      <c r="G17" s="247">
        <v>149</v>
      </c>
      <c r="H17" s="247">
        <v>113</v>
      </c>
      <c r="I17" s="247">
        <v>161</v>
      </c>
      <c r="J17" s="247">
        <v>176</v>
      </c>
      <c r="K17" s="247">
        <v>177</v>
      </c>
      <c r="L17" s="247">
        <v>185</v>
      </c>
      <c r="M17" s="247">
        <v>183</v>
      </c>
      <c r="N17" s="247">
        <v>157</v>
      </c>
      <c r="O17" s="247">
        <v>125</v>
      </c>
      <c r="P17" s="247">
        <v>138</v>
      </c>
      <c r="Q17" s="248">
        <f t="shared" si="2"/>
        <v>154.80000000000001</v>
      </c>
      <c r="R17" s="249">
        <f t="shared" si="0"/>
        <v>1.7996861012614079E-2</v>
      </c>
      <c r="S17" s="233">
        <f t="shared" si="1"/>
        <v>155</v>
      </c>
    </row>
    <row r="18" spans="1:19" s="245" customFormat="1" ht="11.5" customHeight="1">
      <c r="A18" s="233">
        <f t="shared" si="3"/>
        <v>5</v>
      </c>
      <c r="C18" s="246" t="s">
        <v>1101</v>
      </c>
      <c r="D18" s="247"/>
      <c r="E18" s="247">
        <v>40</v>
      </c>
      <c r="F18" s="247">
        <v>40</v>
      </c>
      <c r="G18" s="247">
        <v>43</v>
      </c>
      <c r="H18" s="247">
        <v>27</v>
      </c>
      <c r="I18" s="247">
        <v>33</v>
      </c>
      <c r="J18" s="247">
        <v>39</v>
      </c>
      <c r="K18" s="247">
        <v>39</v>
      </c>
      <c r="L18" s="247">
        <v>43</v>
      </c>
      <c r="M18" s="247">
        <v>40</v>
      </c>
      <c r="N18" s="247">
        <v>30</v>
      </c>
      <c r="O18" s="247">
        <v>37</v>
      </c>
      <c r="P18" s="247">
        <v>41</v>
      </c>
      <c r="Q18" s="248">
        <f t="shared" si="2"/>
        <v>37.700000000000003</v>
      </c>
      <c r="R18" s="249">
        <f t="shared" si="0"/>
        <v>4.3829564610823697E-3</v>
      </c>
      <c r="S18" s="233">
        <f t="shared" si="1"/>
        <v>38</v>
      </c>
    </row>
    <row r="19" spans="1:19" s="245" customFormat="1" ht="11.5" customHeight="1">
      <c r="A19" s="233">
        <f t="shared" si="3"/>
        <v>6</v>
      </c>
      <c r="C19" s="246" t="s">
        <v>1102</v>
      </c>
      <c r="D19" s="247"/>
      <c r="E19" s="247">
        <v>76</v>
      </c>
      <c r="F19" s="247">
        <v>85</v>
      </c>
      <c r="G19" s="247">
        <v>86</v>
      </c>
      <c r="H19" s="247">
        <v>78</v>
      </c>
      <c r="I19" s="247">
        <v>92</v>
      </c>
      <c r="J19" s="247">
        <v>138</v>
      </c>
      <c r="K19" s="247">
        <v>147</v>
      </c>
      <c r="L19" s="247">
        <v>156</v>
      </c>
      <c r="M19" s="247">
        <v>140</v>
      </c>
      <c r="N19" s="247">
        <v>125</v>
      </c>
      <c r="O19" s="247">
        <v>79</v>
      </c>
      <c r="P19" s="247">
        <v>81</v>
      </c>
      <c r="Q19" s="248">
        <f t="shared" si="2"/>
        <v>106.9</v>
      </c>
      <c r="R19" s="249">
        <f t="shared" si="0"/>
        <v>1.2428064872405976E-2</v>
      </c>
      <c r="S19" s="233">
        <f t="shared" si="1"/>
        <v>107</v>
      </c>
    </row>
    <row r="20" spans="1:19" s="245" customFormat="1" ht="11.5" customHeight="1">
      <c r="A20" s="233">
        <f t="shared" si="3"/>
        <v>7</v>
      </c>
      <c r="C20" s="246" t="s">
        <v>1103</v>
      </c>
      <c r="D20" s="247"/>
      <c r="E20" s="247">
        <v>5</v>
      </c>
      <c r="F20" s="247">
        <v>5</v>
      </c>
      <c r="G20" s="247">
        <v>5</v>
      </c>
      <c r="H20" s="247">
        <v>0</v>
      </c>
      <c r="I20" s="247">
        <v>2</v>
      </c>
      <c r="J20" s="247">
        <v>0</v>
      </c>
      <c r="K20" s="247">
        <v>9</v>
      </c>
      <c r="L20" s="247">
        <v>9</v>
      </c>
      <c r="M20" s="247">
        <v>9</v>
      </c>
      <c r="N20" s="247">
        <v>5</v>
      </c>
      <c r="O20" s="247">
        <v>8</v>
      </c>
      <c r="P20" s="247">
        <v>1</v>
      </c>
      <c r="Q20" s="248">
        <f t="shared" si="2"/>
        <v>4.8</v>
      </c>
      <c r="R20" s="249">
        <f t="shared" si="0"/>
        <v>5.5804220194152179E-4</v>
      </c>
      <c r="S20" s="233">
        <f t="shared" si="1"/>
        <v>5</v>
      </c>
    </row>
    <row r="21" spans="1:19" ht="11.5" customHeight="1">
      <c r="A21" s="233">
        <f t="shared" si="3"/>
        <v>8</v>
      </c>
      <c r="C21" s="246" t="s">
        <v>1104</v>
      </c>
      <c r="D21" s="247"/>
      <c r="E21" s="247">
        <v>24</v>
      </c>
      <c r="F21" s="247">
        <v>22</v>
      </c>
      <c r="G21" s="247">
        <v>23</v>
      </c>
      <c r="H21" s="247">
        <v>23</v>
      </c>
      <c r="I21" s="247">
        <v>26</v>
      </c>
      <c r="J21" s="247">
        <v>26</v>
      </c>
      <c r="K21" s="247">
        <v>24</v>
      </c>
      <c r="L21" s="247">
        <v>26</v>
      </c>
      <c r="M21" s="247">
        <v>23</v>
      </c>
      <c r="N21" s="247">
        <v>24</v>
      </c>
      <c r="O21" s="247">
        <v>22</v>
      </c>
      <c r="P21" s="247">
        <v>24</v>
      </c>
      <c r="Q21" s="248">
        <f t="shared" si="2"/>
        <v>23.9</v>
      </c>
      <c r="R21" s="249">
        <f t="shared" si="0"/>
        <v>2.7785851305004937E-3</v>
      </c>
      <c r="S21" s="233">
        <f t="shared" si="1"/>
        <v>24</v>
      </c>
    </row>
    <row r="22" spans="1:19" s="245" customFormat="1" ht="11.5" customHeight="1">
      <c r="A22" s="233">
        <f t="shared" si="3"/>
        <v>9</v>
      </c>
      <c r="C22" s="246" t="s">
        <v>1105</v>
      </c>
      <c r="D22" s="247"/>
      <c r="E22" s="247">
        <v>14</v>
      </c>
      <c r="F22" s="247">
        <v>10</v>
      </c>
      <c r="G22" s="247">
        <v>12</v>
      </c>
      <c r="H22" s="247">
        <v>13</v>
      </c>
      <c r="I22" s="247">
        <v>13</v>
      </c>
      <c r="J22" s="247">
        <v>14</v>
      </c>
      <c r="K22" s="247">
        <v>13</v>
      </c>
      <c r="L22" s="247">
        <v>12</v>
      </c>
      <c r="M22" s="247">
        <v>13</v>
      </c>
      <c r="N22" s="247">
        <v>13</v>
      </c>
      <c r="O22" s="247">
        <v>13</v>
      </c>
      <c r="P22" s="247">
        <v>13</v>
      </c>
      <c r="Q22" s="248">
        <f t="shared" si="2"/>
        <v>12.8</v>
      </c>
      <c r="R22" s="249">
        <f t="shared" si="0"/>
        <v>1.4881125385107249E-3</v>
      </c>
      <c r="S22" s="233">
        <f t="shared" si="1"/>
        <v>13</v>
      </c>
    </row>
    <row r="23" spans="1:19" s="245" customFormat="1" ht="11.5" customHeight="1">
      <c r="A23" s="233">
        <f t="shared" si="3"/>
        <v>10</v>
      </c>
      <c r="C23" s="246" t="s">
        <v>1106</v>
      </c>
      <c r="D23" s="247"/>
      <c r="E23" s="247">
        <v>988</v>
      </c>
      <c r="F23" s="247">
        <v>951</v>
      </c>
      <c r="G23" s="247">
        <v>1055</v>
      </c>
      <c r="H23" s="247">
        <v>514</v>
      </c>
      <c r="I23" s="247">
        <v>701</v>
      </c>
      <c r="J23" s="247">
        <v>822</v>
      </c>
      <c r="K23" s="247">
        <v>868</v>
      </c>
      <c r="L23" s="247">
        <v>933</v>
      </c>
      <c r="M23" s="247">
        <v>890</v>
      </c>
      <c r="N23" s="247">
        <v>798</v>
      </c>
      <c r="O23" s="247">
        <v>1050</v>
      </c>
      <c r="P23" s="247">
        <v>996</v>
      </c>
      <c r="Q23" s="248">
        <f t="shared" si="2"/>
        <v>880.5</v>
      </c>
      <c r="R23" s="249">
        <f t="shared" si="0"/>
        <v>0.10236586641864791</v>
      </c>
      <c r="S23" s="233">
        <f t="shared" si="1"/>
        <v>881</v>
      </c>
    </row>
    <row r="24" spans="1:19" s="245" customFormat="1" ht="11.5" customHeight="1">
      <c r="A24" s="233">
        <f t="shared" si="3"/>
        <v>11</v>
      </c>
      <c r="C24" s="246" t="s">
        <v>1107</v>
      </c>
      <c r="D24" s="247"/>
      <c r="E24" s="247">
        <v>7</v>
      </c>
      <c r="F24" s="247">
        <v>8</v>
      </c>
      <c r="G24" s="247">
        <v>6</v>
      </c>
      <c r="H24" s="247">
        <v>5</v>
      </c>
      <c r="I24" s="247">
        <v>4</v>
      </c>
      <c r="J24" s="247">
        <v>7</v>
      </c>
      <c r="K24" s="247">
        <v>17</v>
      </c>
      <c r="L24" s="247">
        <v>17</v>
      </c>
      <c r="M24" s="247">
        <v>13</v>
      </c>
      <c r="N24" s="247">
        <v>5</v>
      </c>
      <c r="O24" s="247">
        <v>7</v>
      </c>
      <c r="P24" s="247">
        <v>7</v>
      </c>
      <c r="Q24" s="248">
        <f t="shared" si="2"/>
        <v>8.6</v>
      </c>
      <c r="R24" s="249">
        <f t="shared" si="0"/>
        <v>9.9982561181189322E-4</v>
      </c>
      <c r="S24" s="233">
        <f t="shared" si="1"/>
        <v>9</v>
      </c>
    </row>
    <row r="25" spans="1:19" s="245" customFormat="1" ht="11.5" customHeight="1">
      <c r="A25" s="233">
        <f t="shared" si="3"/>
        <v>12</v>
      </c>
      <c r="C25" s="246" t="s">
        <v>1108</v>
      </c>
      <c r="D25" s="247"/>
      <c r="E25" s="247">
        <v>1</v>
      </c>
      <c r="F25" s="247">
        <v>4</v>
      </c>
      <c r="G25" s="247">
        <v>1</v>
      </c>
      <c r="H25" s="247">
        <v>3</v>
      </c>
      <c r="I25" s="247">
        <v>3</v>
      </c>
      <c r="J25" s="247">
        <v>2</v>
      </c>
      <c r="K25" s="247">
        <v>6</v>
      </c>
      <c r="L25" s="247">
        <v>4</v>
      </c>
      <c r="M25" s="247">
        <v>3</v>
      </c>
      <c r="N25" s="247">
        <v>4</v>
      </c>
      <c r="O25" s="247">
        <v>4</v>
      </c>
      <c r="P25" s="247">
        <v>4</v>
      </c>
      <c r="Q25" s="248">
        <f t="shared" si="2"/>
        <v>3.3</v>
      </c>
      <c r="R25" s="249">
        <f t="shared" si="0"/>
        <v>3.8365401383479625E-4</v>
      </c>
      <c r="S25" s="233">
        <f t="shared" si="1"/>
        <v>3</v>
      </c>
    </row>
    <row r="26" spans="1:19" s="245" customFormat="1" ht="11.5" customHeight="1">
      <c r="A26" s="233">
        <f t="shared" si="3"/>
        <v>13</v>
      </c>
      <c r="C26" s="246" t="s">
        <v>1109</v>
      </c>
      <c r="D26" s="247"/>
      <c r="E26" s="247">
        <v>108</v>
      </c>
      <c r="F26" s="247">
        <v>116</v>
      </c>
      <c r="G26" s="247">
        <v>115</v>
      </c>
      <c r="H26" s="247">
        <v>96</v>
      </c>
      <c r="I26" s="247">
        <v>127</v>
      </c>
      <c r="J26" s="247">
        <v>143</v>
      </c>
      <c r="K26" s="247">
        <v>153</v>
      </c>
      <c r="L26" s="247">
        <v>162</v>
      </c>
      <c r="M26" s="247">
        <v>145</v>
      </c>
      <c r="N26" s="247">
        <v>134</v>
      </c>
      <c r="O26" s="247">
        <v>105</v>
      </c>
      <c r="P26" s="247">
        <v>106</v>
      </c>
      <c r="Q26" s="248">
        <f t="shared" si="2"/>
        <v>125.8</v>
      </c>
      <c r="R26" s="249">
        <f t="shared" si="0"/>
        <v>1.4625356042550717E-2</v>
      </c>
      <c r="S26" s="233">
        <f t="shared" si="1"/>
        <v>126</v>
      </c>
    </row>
    <row r="27" spans="1:19" s="245" customFormat="1" ht="11.5" customHeight="1">
      <c r="A27" s="233">
        <f t="shared" si="3"/>
        <v>14</v>
      </c>
      <c r="C27" s="246" t="s">
        <v>1110</v>
      </c>
      <c r="D27" s="247"/>
      <c r="E27" s="247">
        <v>11</v>
      </c>
      <c r="F27" s="247">
        <v>9</v>
      </c>
      <c r="G27" s="247">
        <v>12</v>
      </c>
      <c r="H27" s="247">
        <v>10</v>
      </c>
      <c r="I27" s="247">
        <v>13</v>
      </c>
      <c r="J27" s="247">
        <v>12</v>
      </c>
      <c r="K27" s="247">
        <v>14</v>
      </c>
      <c r="L27" s="247">
        <v>16</v>
      </c>
      <c r="M27" s="247">
        <v>13</v>
      </c>
      <c r="N27" s="247">
        <v>12</v>
      </c>
      <c r="O27" s="247">
        <v>9</v>
      </c>
      <c r="P27" s="247">
        <v>10</v>
      </c>
      <c r="Q27" s="248">
        <f t="shared" si="2"/>
        <v>11.8</v>
      </c>
      <c r="R27" s="249">
        <f t="shared" si="0"/>
        <v>1.3718537464395746E-3</v>
      </c>
      <c r="S27" s="233">
        <f t="shared" si="1"/>
        <v>12</v>
      </c>
    </row>
    <row r="28" spans="1:19" s="245" customFormat="1" ht="11.5" customHeight="1">
      <c r="A28" s="233">
        <f t="shared" si="3"/>
        <v>15</v>
      </c>
      <c r="C28" s="246" t="s">
        <v>1111</v>
      </c>
      <c r="D28" s="247"/>
      <c r="E28" s="247">
        <v>22</v>
      </c>
      <c r="F28" s="247">
        <v>20</v>
      </c>
      <c r="G28" s="247">
        <v>21</v>
      </c>
      <c r="H28" s="247">
        <v>21</v>
      </c>
      <c r="I28" s="247">
        <v>30</v>
      </c>
      <c r="J28" s="247">
        <v>32</v>
      </c>
      <c r="K28" s="247">
        <v>33</v>
      </c>
      <c r="L28" s="247">
        <v>36</v>
      </c>
      <c r="M28" s="247">
        <v>34</v>
      </c>
      <c r="N28" s="247">
        <v>34</v>
      </c>
      <c r="O28" s="247">
        <v>21</v>
      </c>
      <c r="P28" s="247">
        <v>21</v>
      </c>
      <c r="Q28" s="248">
        <f t="shared" si="2"/>
        <v>27.1</v>
      </c>
      <c r="R28" s="249">
        <f t="shared" si="0"/>
        <v>3.1506132651281755E-3</v>
      </c>
      <c r="S28" s="233">
        <f t="shared" si="1"/>
        <v>27</v>
      </c>
    </row>
    <row r="29" spans="1:19" s="245" customFormat="1" ht="11.5" customHeight="1">
      <c r="A29" s="233">
        <f t="shared" si="3"/>
        <v>16</v>
      </c>
      <c r="C29" s="246" t="s">
        <v>1112</v>
      </c>
      <c r="D29" s="247"/>
      <c r="E29" s="247">
        <v>43</v>
      </c>
      <c r="F29" s="247">
        <v>42</v>
      </c>
      <c r="G29" s="247">
        <v>42</v>
      </c>
      <c r="H29" s="247">
        <v>39</v>
      </c>
      <c r="I29" s="247">
        <v>49</v>
      </c>
      <c r="J29" s="247">
        <v>52</v>
      </c>
      <c r="K29" s="247">
        <v>53</v>
      </c>
      <c r="L29" s="247">
        <v>53</v>
      </c>
      <c r="M29" s="247">
        <v>49</v>
      </c>
      <c r="N29" s="247">
        <v>49</v>
      </c>
      <c r="O29" s="247">
        <v>35</v>
      </c>
      <c r="P29" s="247">
        <v>35</v>
      </c>
      <c r="Q29" s="248">
        <f t="shared" si="2"/>
        <v>45.1</v>
      </c>
      <c r="R29" s="249">
        <f t="shared" si="0"/>
        <v>5.2432715224088825E-3</v>
      </c>
      <c r="S29" s="233">
        <f t="shared" si="1"/>
        <v>45</v>
      </c>
    </row>
    <row r="30" spans="1:19" ht="11.5" customHeight="1">
      <c r="A30" s="233">
        <f t="shared" si="3"/>
        <v>17</v>
      </c>
      <c r="B30" s="250" t="s">
        <v>253</v>
      </c>
      <c r="C30" s="246" t="s">
        <v>1113</v>
      </c>
      <c r="D30" s="247"/>
      <c r="E30" s="247">
        <v>104</v>
      </c>
      <c r="F30" s="247">
        <v>103</v>
      </c>
      <c r="G30" s="247">
        <v>105</v>
      </c>
      <c r="H30" s="247">
        <v>104</v>
      </c>
      <c r="I30" s="247">
        <v>106</v>
      </c>
      <c r="J30" s="247">
        <v>100</v>
      </c>
      <c r="K30" s="247">
        <v>117</v>
      </c>
      <c r="L30" s="247">
        <v>116</v>
      </c>
      <c r="M30" s="247">
        <v>113</v>
      </c>
      <c r="N30" s="247">
        <v>113</v>
      </c>
      <c r="O30" s="247">
        <v>104</v>
      </c>
      <c r="P30" s="247">
        <v>41</v>
      </c>
      <c r="Q30" s="248">
        <f>ROUND(SUM(E30:P30)/12,1)</f>
        <v>102.2</v>
      </c>
      <c r="R30" s="249">
        <f t="shared" si="0"/>
        <v>1.1881648549671569E-2</v>
      </c>
      <c r="S30" s="233">
        <f t="shared" si="1"/>
        <v>102</v>
      </c>
    </row>
    <row r="31" spans="1:19" ht="11.5" customHeight="1">
      <c r="A31" s="233">
        <f t="shared" si="3"/>
        <v>18</v>
      </c>
      <c r="C31" s="246" t="s">
        <v>1114</v>
      </c>
      <c r="D31" s="247"/>
      <c r="E31" s="247">
        <v>157</v>
      </c>
      <c r="F31" s="247">
        <v>138</v>
      </c>
      <c r="G31" s="247">
        <v>153</v>
      </c>
      <c r="H31" s="247">
        <v>85</v>
      </c>
      <c r="I31" s="247">
        <v>115</v>
      </c>
      <c r="J31" s="247">
        <v>119</v>
      </c>
      <c r="K31" s="247">
        <v>136</v>
      </c>
      <c r="L31" s="247">
        <v>141</v>
      </c>
      <c r="M31" s="247">
        <v>137</v>
      </c>
      <c r="N31" s="247">
        <v>125</v>
      </c>
      <c r="O31" s="247">
        <v>157</v>
      </c>
      <c r="P31" s="247">
        <v>152</v>
      </c>
      <c r="Q31" s="251">
        <f t="shared" si="2"/>
        <v>134.6</v>
      </c>
      <c r="R31" s="249">
        <f t="shared" si="0"/>
        <v>1.564843341277684E-2</v>
      </c>
      <c r="S31" s="233">
        <f t="shared" si="1"/>
        <v>135</v>
      </c>
    </row>
    <row r="32" spans="1:19" ht="11.5" customHeight="1">
      <c r="A32" s="233">
        <f t="shared" si="3"/>
        <v>19</v>
      </c>
      <c r="C32" s="246" t="s">
        <v>1115</v>
      </c>
      <c r="D32" s="247"/>
      <c r="E32" s="247">
        <v>38</v>
      </c>
      <c r="F32" s="247">
        <v>43</v>
      </c>
      <c r="G32" s="247">
        <v>45</v>
      </c>
      <c r="H32" s="247">
        <v>22</v>
      </c>
      <c r="I32" s="247">
        <v>31</v>
      </c>
      <c r="J32" s="247">
        <v>44</v>
      </c>
      <c r="K32" s="247">
        <v>47</v>
      </c>
      <c r="L32" s="247">
        <v>50</v>
      </c>
      <c r="M32" s="247">
        <v>45</v>
      </c>
      <c r="N32" s="247">
        <v>37</v>
      </c>
      <c r="O32" s="247">
        <v>38</v>
      </c>
      <c r="P32" s="247">
        <v>38</v>
      </c>
      <c r="Q32" s="251">
        <f t="shared" ref="Q32" si="4">ROUND(SUM(E32:P32)/12,1)</f>
        <v>39.799999999999997</v>
      </c>
      <c r="R32" s="249">
        <f t="shared" ref="R32" si="5">+Q32/Q$33</f>
        <v>4.6270999244317846E-3</v>
      </c>
      <c r="S32" s="233">
        <f t="shared" ref="S32:S33" si="6">ROUND(Q32,0)</f>
        <v>40</v>
      </c>
    </row>
    <row r="33" spans="1:20" ht="11.5" customHeight="1">
      <c r="A33" s="233">
        <f t="shared" si="3"/>
        <v>20</v>
      </c>
      <c r="B33" s="250" t="s">
        <v>573</v>
      </c>
      <c r="C33" s="233"/>
      <c r="D33" s="237"/>
      <c r="E33" s="252">
        <f>SUM(E14:E32)</f>
        <v>7961</v>
      </c>
      <c r="F33" s="252">
        <f t="shared" ref="F33:P33" si="7">SUM(F14:F32)</f>
        <v>8102</v>
      </c>
      <c r="G33" s="252">
        <f t="shared" si="7"/>
        <v>8311</v>
      </c>
      <c r="H33" s="252">
        <f t="shared" si="7"/>
        <v>6551</v>
      </c>
      <c r="I33" s="252">
        <f t="shared" si="7"/>
        <v>8064</v>
      </c>
      <c r="J33" s="252">
        <f t="shared" si="7"/>
        <v>9441</v>
      </c>
      <c r="K33" s="252">
        <f t="shared" si="7"/>
        <v>9896</v>
      </c>
      <c r="L33" s="252">
        <f t="shared" si="7"/>
        <v>10417</v>
      </c>
      <c r="M33" s="252">
        <f t="shared" si="7"/>
        <v>9690</v>
      </c>
      <c r="N33" s="252">
        <f t="shared" si="7"/>
        <v>9095</v>
      </c>
      <c r="O33" s="252">
        <f t="shared" si="7"/>
        <v>7930</v>
      </c>
      <c r="P33" s="252">
        <f t="shared" si="7"/>
        <v>7760</v>
      </c>
      <c r="Q33" s="253">
        <f>SUM(E33:P33)/12</f>
        <v>8601.5</v>
      </c>
      <c r="R33" s="227" t="s">
        <v>574</v>
      </c>
      <c r="S33" s="250">
        <f t="shared" si="6"/>
        <v>8602</v>
      </c>
      <c r="T33" s="227" t="s">
        <v>575</v>
      </c>
    </row>
    <row r="34" spans="1:20" s="254" customFormat="1" ht="9.75" customHeight="1">
      <c r="A34" s="233"/>
      <c r="C34" s="233"/>
      <c r="D34" s="233"/>
      <c r="E34" s="255"/>
      <c r="F34" s="233"/>
      <c r="G34" s="233"/>
      <c r="H34" s="233"/>
      <c r="I34" s="233"/>
      <c r="J34" s="233"/>
      <c r="K34" s="233"/>
      <c r="L34" s="227"/>
      <c r="M34" s="227"/>
      <c r="N34" s="227"/>
      <c r="O34" s="227"/>
      <c r="P34" s="227"/>
      <c r="Q34" s="256"/>
      <c r="R34" s="257"/>
    </row>
    <row r="35" spans="1:20" ht="11.5" customHeight="1">
      <c r="C35" s="256"/>
      <c r="D35" s="256"/>
      <c r="E35" s="256"/>
      <c r="F35" s="256"/>
      <c r="G35" s="256"/>
      <c r="H35" s="256"/>
      <c r="I35" s="256"/>
      <c r="J35" s="256"/>
      <c r="K35" s="256"/>
      <c r="L35" s="256"/>
      <c r="M35" s="256"/>
      <c r="N35" s="256"/>
      <c r="O35" s="256"/>
      <c r="P35" s="256"/>
      <c r="Q35" s="233"/>
      <c r="R35" s="228" t="s">
        <v>253</v>
      </c>
    </row>
    <row r="36" spans="1:20" ht="11.5" customHeight="1">
      <c r="B36" s="258" t="s">
        <v>569</v>
      </c>
      <c r="C36" s="259"/>
      <c r="D36" s="259"/>
      <c r="E36" s="233"/>
      <c r="F36" s="233"/>
      <c r="G36" s="233"/>
      <c r="H36" s="233"/>
      <c r="I36" s="233"/>
      <c r="J36" s="233"/>
      <c r="K36" s="233"/>
      <c r="L36" s="233"/>
      <c r="M36" s="233"/>
      <c r="N36" s="233"/>
      <c r="O36" s="233"/>
      <c r="P36" s="233"/>
      <c r="Q36" s="233"/>
    </row>
    <row r="37" spans="1:20" ht="11.25" customHeight="1">
      <c r="A37" s="233">
        <f>+A33+1</f>
        <v>21</v>
      </c>
      <c r="B37" s="250" t="s">
        <v>570</v>
      </c>
      <c r="C37" s="233"/>
      <c r="D37" s="260" t="s">
        <v>1116</v>
      </c>
      <c r="E37" s="247">
        <v>2574</v>
      </c>
      <c r="F37" s="247">
        <v>2805</v>
      </c>
      <c r="G37" s="247">
        <v>2817</v>
      </c>
      <c r="H37" s="247">
        <v>2588</v>
      </c>
      <c r="I37" s="247">
        <v>2987</v>
      </c>
      <c r="J37" s="247">
        <v>3735</v>
      </c>
      <c r="K37" s="247">
        <v>3937</v>
      </c>
      <c r="L37" s="247">
        <v>4102</v>
      </c>
      <c r="M37" s="247">
        <v>3742</v>
      </c>
      <c r="N37" s="247">
        <v>3541</v>
      </c>
      <c r="O37" s="247">
        <v>2582</v>
      </c>
      <c r="P37" s="247">
        <v>2613</v>
      </c>
      <c r="Q37" s="233"/>
    </row>
    <row r="38" spans="1:20" ht="11.25" customHeight="1">
      <c r="A38" s="233">
        <f>+A37+1</f>
        <v>22</v>
      </c>
      <c r="B38" s="233"/>
      <c r="C38" s="233"/>
      <c r="D38" s="260" t="s">
        <v>1117</v>
      </c>
      <c r="E38" s="247">
        <v>-7</v>
      </c>
      <c r="F38" s="247">
        <v>-7</v>
      </c>
      <c r="G38" s="247">
        <v>-7</v>
      </c>
      <c r="H38" s="247">
        <v>-6</v>
      </c>
      <c r="I38" s="247">
        <v>-7</v>
      </c>
      <c r="J38" s="247">
        <v>-6</v>
      </c>
      <c r="K38" s="247">
        <v>-7</v>
      </c>
      <c r="L38" s="247">
        <v>-7</v>
      </c>
      <c r="M38" s="247">
        <v>-7</v>
      </c>
      <c r="N38" s="247">
        <v>-6</v>
      </c>
      <c r="O38" s="247">
        <v>-7</v>
      </c>
      <c r="P38" s="247">
        <v>-7</v>
      </c>
      <c r="Q38" s="233"/>
    </row>
    <row r="39" spans="1:20" ht="12.75" customHeight="1">
      <c r="A39" s="233">
        <f t="shared" ref="A39:A46" si="8">+A38+1</f>
        <v>23</v>
      </c>
      <c r="B39" s="233"/>
      <c r="C39" s="233"/>
      <c r="D39" s="260" t="s">
        <v>1118</v>
      </c>
      <c r="E39" s="247">
        <v>-6</v>
      </c>
      <c r="F39" s="247">
        <v>-6</v>
      </c>
      <c r="G39" s="247">
        <v>-5</v>
      </c>
      <c r="H39" s="247">
        <v>-8</v>
      </c>
      <c r="I39" s="247">
        <v>-10</v>
      </c>
      <c r="J39" s="247">
        <v>-5</v>
      </c>
      <c r="K39" s="247">
        <v>-7</v>
      </c>
      <c r="L39" s="247">
        <v>-6</v>
      </c>
      <c r="M39" s="247">
        <v>-4</v>
      </c>
      <c r="N39" s="247">
        <v>-8</v>
      </c>
      <c r="O39" s="247">
        <v>-5</v>
      </c>
      <c r="P39" s="247">
        <v>-7</v>
      </c>
    </row>
    <row r="40" spans="1:20" ht="17.25" customHeight="1" thickBot="1">
      <c r="B40" s="233"/>
      <c r="C40" s="250" t="s">
        <v>576</v>
      </c>
      <c r="D40" s="250"/>
      <c r="E40" s="261">
        <f t="shared" ref="E40:P40" si="9">SUM(E37:E39)</f>
        <v>2561</v>
      </c>
      <c r="F40" s="261">
        <f t="shared" si="9"/>
        <v>2792</v>
      </c>
      <c r="G40" s="261">
        <f t="shared" si="9"/>
        <v>2805</v>
      </c>
      <c r="H40" s="261">
        <f t="shared" si="9"/>
        <v>2574</v>
      </c>
      <c r="I40" s="261">
        <f t="shared" si="9"/>
        <v>2970</v>
      </c>
      <c r="J40" s="261">
        <f t="shared" si="9"/>
        <v>3724</v>
      </c>
      <c r="K40" s="261">
        <f t="shared" si="9"/>
        <v>3923</v>
      </c>
      <c r="L40" s="261">
        <f t="shared" si="9"/>
        <v>4089</v>
      </c>
      <c r="M40" s="261">
        <f t="shared" si="9"/>
        <v>3731</v>
      </c>
      <c r="N40" s="261">
        <f t="shared" si="9"/>
        <v>3527</v>
      </c>
      <c r="O40" s="261">
        <f t="shared" si="9"/>
        <v>2570</v>
      </c>
      <c r="P40" s="261">
        <f t="shared" si="9"/>
        <v>2599</v>
      </c>
      <c r="Q40" s="253">
        <f>SUM(E40:P40)/12</f>
        <v>3155.4166666666665</v>
      </c>
      <c r="S40" s="227">
        <f>ROUND(Q40,0)</f>
        <v>3155</v>
      </c>
    </row>
    <row r="41" spans="1:20" ht="11.5" customHeight="1" thickTop="1">
      <c r="A41" s="233">
        <f>+A39+1</f>
        <v>24</v>
      </c>
      <c r="B41" s="250" t="s">
        <v>571</v>
      </c>
      <c r="C41" s="233"/>
      <c r="D41" s="233"/>
      <c r="E41" s="233"/>
      <c r="F41" s="233"/>
      <c r="G41" s="233"/>
      <c r="H41" s="233"/>
      <c r="I41" s="233"/>
      <c r="J41" s="233" t="s">
        <v>253</v>
      </c>
      <c r="K41" s="233"/>
      <c r="L41" s="233"/>
      <c r="M41" s="233"/>
      <c r="N41" s="233"/>
      <c r="O41" s="233"/>
      <c r="P41" s="233"/>
      <c r="Q41" s="233"/>
    </row>
    <row r="42" spans="1:20" ht="11.5" customHeight="1">
      <c r="A42" s="233">
        <f t="shared" si="8"/>
        <v>25</v>
      </c>
      <c r="B42" s="233"/>
      <c r="C42" s="233"/>
      <c r="D42" s="260" t="s">
        <v>1119</v>
      </c>
      <c r="E42" s="247">
        <v>3135</v>
      </c>
      <c r="F42" s="247">
        <v>3015</v>
      </c>
      <c r="G42" s="247">
        <v>3133</v>
      </c>
      <c r="H42" s="247">
        <v>2439</v>
      </c>
      <c r="I42" s="247">
        <v>3102</v>
      </c>
      <c r="J42" s="247">
        <v>3431</v>
      </c>
      <c r="K42" s="247">
        <v>3545</v>
      </c>
      <c r="L42" s="247">
        <v>3767</v>
      </c>
      <c r="M42" s="247">
        <v>3578</v>
      </c>
      <c r="N42" s="247">
        <v>3392</v>
      </c>
      <c r="O42" s="247">
        <v>3102</v>
      </c>
      <c r="P42" s="247">
        <v>2984</v>
      </c>
      <c r="Q42" s="233"/>
    </row>
    <row r="43" spans="1:20" ht="11.5" customHeight="1">
      <c r="A43" s="233">
        <f t="shared" si="8"/>
        <v>26</v>
      </c>
      <c r="B43" s="233"/>
      <c r="C43" s="233"/>
      <c r="D43" s="260" t="s">
        <v>1120</v>
      </c>
      <c r="E43" s="247">
        <v>157</v>
      </c>
      <c r="F43" s="247">
        <v>157</v>
      </c>
      <c r="G43" s="247">
        <v>152</v>
      </c>
      <c r="H43" s="247">
        <v>149</v>
      </c>
      <c r="I43" s="247">
        <v>152</v>
      </c>
      <c r="J43" s="247">
        <v>155</v>
      </c>
      <c r="K43" s="247">
        <v>150</v>
      </c>
      <c r="L43" s="247">
        <v>148</v>
      </c>
      <c r="M43" s="247">
        <v>143</v>
      </c>
      <c r="N43" s="247">
        <v>132</v>
      </c>
      <c r="O43" s="247">
        <v>135</v>
      </c>
      <c r="P43" s="247">
        <v>142</v>
      </c>
      <c r="Q43" s="233"/>
    </row>
    <row r="44" spans="1:20" ht="11.5" customHeight="1">
      <c r="A44" s="233">
        <f t="shared" si="8"/>
        <v>27</v>
      </c>
      <c r="B44" s="233"/>
      <c r="C44" s="233"/>
      <c r="D44" s="260" t="s">
        <v>1121</v>
      </c>
      <c r="E44" s="247">
        <v>-157</v>
      </c>
      <c r="F44" s="247">
        <v>-138</v>
      </c>
      <c r="G44" s="247">
        <v>-153</v>
      </c>
      <c r="H44" s="247">
        <v>-85</v>
      </c>
      <c r="I44" s="247">
        <v>-115</v>
      </c>
      <c r="J44" s="247">
        <v>-119</v>
      </c>
      <c r="K44" s="247">
        <v>-136</v>
      </c>
      <c r="L44" s="247">
        <v>-141</v>
      </c>
      <c r="M44" s="247">
        <v>-137</v>
      </c>
      <c r="N44" s="247">
        <v>-125</v>
      </c>
      <c r="O44" s="247">
        <v>-157</v>
      </c>
      <c r="P44" s="247">
        <v>-152</v>
      </c>
      <c r="Q44" s="233"/>
    </row>
    <row r="45" spans="1:20" ht="11.5" customHeight="1">
      <c r="A45" s="233">
        <f t="shared" si="8"/>
        <v>28</v>
      </c>
      <c r="B45" s="233"/>
      <c r="C45" s="233"/>
      <c r="D45" s="260" t="s">
        <v>1122</v>
      </c>
      <c r="E45" s="247">
        <v>-138</v>
      </c>
      <c r="F45" s="247">
        <v>-143</v>
      </c>
      <c r="G45" s="247">
        <v>-160</v>
      </c>
      <c r="H45" s="247">
        <v>-54</v>
      </c>
      <c r="I45" s="247">
        <v>-87</v>
      </c>
      <c r="J45" s="247">
        <v>-105</v>
      </c>
      <c r="K45" s="247">
        <v>-102</v>
      </c>
      <c r="L45" s="247">
        <v>-110</v>
      </c>
      <c r="M45" s="247">
        <v>-110</v>
      </c>
      <c r="N45" s="247">
        <v>-98</v>
      </c>
      <c r="O45" s="247">
        <v>-148</v>
      </c>
      <c r="P45" s="247">
        <v>-135</v>
      </c>
      <c r="Q45" s="233"/>
    </row>
    <row r="46" spans="1:20" ht="15" customHeight="1" thickBot="1">
      <c r="A46" s="233">
        <f t="shared" si="8"/>
        <v>29</v>
      </c>
      <c r="B46" s="233"/>
      <c r="C46" s="250" t="s">
        <v>577</v>
      </c>
      <c r="D46" s="250"/>
      <c r="E46" s="261">
        <f>SUM(E42:E45)</f>
        <v>2997</v>
      </c>
      <c r="F46" s="261">
        <f t="shared" ref="F46:P46" si="10">SUM(F42:F45)</f>
        <v>2891</v>
      </c>
      <c r="G46" s="261">
        <f t="shared" si="10"/>
        <v>2972</v>
      </c>
      <c r="H46" s="261">
        <f t="shared" si="10"/>
        <v>2449</v>
      </c>
      <c r="I46" s="261">
        <f t="shared" si="10"/>
        <v>3052</v>
      </c>
      <c r="J46" s="261">
        <f t="shared" si="10"/>
        <v>3362</v>
      </c>
      <c r="K46" s="261">
        <f t="shared" si="10"/>
        <v>3457</v>
      </c>
      <c r="L46" s="261">
        <f t="shared" si="10"/>
        <v>3664</v>
      </c>
      <c r="M46" s="261">
        <f t="shared" si="10"/>
        <v>3474</v>
      </c>
      <c r="N46" s="261">
        <f t="shared" si="10"/>
        <v>3301</v>
      </c>
      <c r="O46" s="261">
        <f t="shared" si="10"/>
        <v>2932</v>
      </c>
      <c r="P46" s="261">
        <f t="shared" si="10"/>
        <v>2839</v>
      </c>
      <c r="Q46" s="253">
        <f>SUM(E46:P46)/12</f>
        <v>3115.8333333333335</v>
      </c>
      <c r="S46" s="227">
        <f>ROUND(Q46,0)</f>
        <v>3116</v>
      </c>
    </row>
    <row r="47" spans="1:20" ht="11.5" customHeight="1" thickTop="1">
      <c r="B47" s="233"/>
      <c r="C47" s="233"/>
      <c r="D47" s="233"/>
      <c r="E47" s="233"/>
      <c r="F47" s="233"/>
      <c r="G47" s="233"/>
      <c r="H47" s="233"/>
      <c r="I47" s="233"/>
      <c r="J47" s="233"/>
      <c r="K47" s="233"/>
      <c r="L47" s="233"/>
      <c r="M47" s="233"/>
      <c r="N47" s="233"/>
      <c r="O47" s="233"/>
      <c r="P47" s="233"/>
      <c r="Q47" s="233"/>
    </row>
    <row r="48" spans="1:20" ht="13">
      <c r="A48" s="233">
        <f>+A46+1</f>
        <v>30</v>
      </c>
      <c r="B48" s="250" t="s">
        <v>581</v>
      </c>
      <c r="C48" s="250"/>
      <c r="D48" s="250"/>
      <c r="E48" s="233"/>
      <c r="F48" s="233"/>
      <c r="G48" s="233"/>
      <c r="H48" s="233"/>
      <c r="I48" s="233"/>
      <c r="J48" s="233"/>
      <c r="K48" s="233"/>
      <c r="L48" s="233"/>
      <c r="M48" s="233"/>
      <c r="N48" s="233"/>
      <c r="O48" s="233"/>
      <c r="P48" s="233"/>
      <c r="Q48" s="262" t="s">
        <v>578</v>
      </c>
      <c r="R48" s="263" t="s">
        <v>579</v>
      </c>
      <c r="S48" s="264">
        <f>ROUND(Q57,0)</f>
        <v>8602</v>
      </c>
    </row>
    <row r="49" spans="1:159">
      <c r="A49" s="227"/>
      <c r="B49" s="265"/>
      <c r="C49" s="250"/>
      <c r="D49" s="250"/>
      <c r="G49" s="233"/>
      <c r="R49" s="227"/>
    </row>
    <row r="50" spans="1:159" ht="13.5" thickBot="1">
      <c r="A50" s="227"/>
      <c r="B50" s="266" t="s">
        <v>580</v>
      </c>
      <c r="C50" s="267"/>
      <c r="D50" s="244"/>
      <c r="G50" s="233"/>
    </row>
    <row r="51" spans="1:159">
      <c r="A51" s="227">
        <f>+A48+1</f>
        <v>31</v>
      </c>
      <c r="B51" s="233"/>
      <c r="D51" s="265" t="s">
        <v>1123</v>
      </c>
      <c r="E51" s="233">
        <f t="shared" ref="E51:P51" si="11">+E14</f>
        <v>2561</v>
      </c>
      <c r="F51" s="233">
        <f t="shared" si="11"/>
        <v>2792</v>
      </c>
      <c r="G51" s="233">
        <f t="shared" si="11"/>
        <v>2805</v>
      </c>
      <c r="H51" s="233">
        <f t="shared" si="11"/>
        <v>2574</v>
      </c>
      <c r="I51" s="233">
        <f t="shared" si="11"/>
        <v>2970</v>
      </c>
      <c r="J51" s="233">
        <f t="shared" si="11"/>
        <v>3724</v>
      </c>
      <c r="K51" s="233">
        <f t="shared" si="11"/>
        <v>3923</v>
      </c>
      <c r="L51" s="233">
        <f t="shared" si="11"/>
        <v>4089</v>
      </c>
      <c r="M51" s="233">
        <f t="shared" si="11"/>
        <v>3731</v>
      </c>
      <c r="N51" s="233">
        <f t="shared" si="11"/>
        <v>3527</v>
      </c>
      <c r="O51" s="233">
        <f t="shared" si="11"/>
        <v>2569</v>
      </c>
      <c r="P51" s="233">
        <f t="shared" si="11"/>
        <v>2599</v>
      </c>
      <c r="Q51" s="253">
        <f t="shared" ref="Q51:Q56" si="12">SUM(E51:P51)/12</f>
        <v>3155.3333333333335</v>
      </c>
      <c r="S51" s="233">
        <f t="shared" ref="S51:S57" si="13">ROUND(Q51,0)</f>
        <v>3155</v>
      </c>
    </row>
    <row r="52" spans="1:159">
      <c r="A52" s="227">
        <f t="shared" ref="A52:A57" si="14">+A51+1</f>
        <v>32</v>
      </c>
      <c r="B52" s="233"/>
      <c r="C52" s="233"/>
      <c r="D52" s="265" t="s">
        <v>1124</v>
      </c>
      <c r="E52" s="233">
        <v>0</v>
      </c>
      <c r="F52" s="233">
        <v>0</v>
      </c>
      <c r="G52" s="233">
        <v>0</v>
      </c>
      <c r="H52" s="233">
        <v>0</v>
      </c>
      <c r="I52" s="233">
        <v>0</v>
      </c>
      <c r="J52" s="233">
        <v>0</v>
      </c>
      <c r="K52" s="233">
        <v>0</v>
      </c>
      <c r="L52" s="233">
        <v>0</v>
      </c>
      <c r="M52" s="233">
        <v>0</v>
      </c>
      <c r="N52" s="233">
        <v>0</v>
      </c>
      <c r="O52" s="233">
        <v>0</v>
      </c>
      <c r="P52" s="233">
        <v>0</v>
      </c>
      <c r="Q52" s="253">
        <f t="shared" si="12"/>
        <v>0</v>
      </c>
      <c r="S52" s="233">
        <f t="shared" si="13"/>
        <v>0</v>
      </c>
    </row>
    <row r="53" spans="1:159">
      <c r="A53" s="227">
        <f t="shared" si="14"/>
        <v>33</v>
      </c>
      <c r="B53" s="233"/>
      <c r="C53" s="233"/>
      <c r="D53" s="265" t="s">
        <v>1125</v>
      </c>
      <c r="E53" s="233">
        <v>0</v>
      </c>
      <c r="F53" s="233">
        <v>0</v>
      </c>
      <c r="G53" s="233">
        <v>0</v>
      </c>
      <c r="H53" s="233">
        <v>0</v>
      </c>
      <c r="I53" s="233">
        <v>0</v>
      </c>
      <c r="J53" s="233">
        <v>0</v>
      </c>
      <c r="K53" s="233">
        <v>0</v>
      </c>
      <c r="L53" s="233">
        <v>0</v>
      </c>
      <c r="M53" s="233">
        <v>0</v>
      </c>
      <c r="N53" s="233">
        <v>0</v>
      </c>
      <c r="O53" s="233">
        <v>0</v>
      </c>
      <c r="P53" s="233">
        <v>0</v>
      </c>
      <c r="Q53" s="253">
        <f t="shared" si="12"/>
        <v>0</v>
      </c>
      <c r="S53" s="233">
        <f t="shared" si="13"/>
        <v>0</v>
      </c>
    </row>
    <row r="54" spans="1:159">
      <c r="A54" s="227">
        <f t="shared" si="14"/>
        <v>34</v>
      </c>
      <c r="B54" s="233"/>
      <c r="C54" s="233"/>
      <c r="D54" s="265" t="s">
        <v>1126</v>
      </c>
      <c r="E54" s="233">
        <f>+E51-E52-E53</f>
        <v>2561</v>
      </c>
      <c r="F54" s="233">
        <f t="shared" ref="F54:P54" si="15">+F51-F52-F53</f>
        <v>2792</v>
      </c>
      <c r="G54" s="233">
        <f t="shared" si="15"/>
        <v>2805</v>
      </c>
      <c r="H54" s="233">
        <f t="shared" si="15"/>
        <v>2574</v>
      </c>
      <c r="I54" s="233">
        <f t="shared" si="15"/>
        <v>2970</v>
      </c>
      <c r="J54" s="233">
        <f t="shared" si="15"/>
        <v>3724</v>
      </c>
      <c r="K54" s="233">
        <f t="shared" si="15"/>
        <v>3923</v>
      </c>
      <c r="L54" s="233">
        <f t="shared" si="15"/>
        <v>4089</v>
      </c>
      <c r="M54" s="233">
        <f t="shared" si="15"/>
        <v>3731</v>
      </c>
      <c r="N54" s="233">
        <f t="shared" si="15"/>
        <v>3527</v>
      </c>
      <c r="O54" s="233">
        <f t="shared" si="15"/>
        <v>2569</v>
      </c>
      <c r="P54" s="233">
        <f t="shared" si="15"/>
        <v>2599</v>
      </c>
      <c r="Q54" s="253">
        <f t="shared" si="12"/>
        <v>3155.3333333333335</v>
      </c>
      <c r="S54" s="233">
        <f t="shared" si="13"/>
        <v>3155</v>
      </c>
    </row>
    <row r="55" spans="1:159">
      <c r="A55" s="227">
        <f t="shared" si="14"/>
        <v>35</v>
      </c>
      <c r="B55" s="233"/>
      <c r="C55" s="233"/>
      <c r="D55" s="265" t="s">
        <v>1127</v>
      </c>
      <c r="E55" s="233">
        <f t="shared" ref="E55:P55" si="16">+E15</f>
        <v>2997</v>
      </c>
      <c r="F55" s="233">
        <f t="shared" si="16"/>
        <v>2891</v>
      </c>
      <c r="G55" s="233">
        <f t="shared" si="16"/>
        <v>2972</v>
      </c>
      <c r="H55" s="233">
        <f t="shared" si="16"/>
        <v>2449</v>
      </c>
      <c r="I55" s="233">
        <f t="shared" si="16"/>
        <v>3052</v>
      </c>
      <c r="J55" s="233">
        <f t="shared" si="16"/>
        <v>3362</v>
      </c>
      <c r="K55" s="233">
        <f t="shared" si="16"/>
        <v>3457</v>
      </c>
      <c r="L55" s="233">
        <f t="shared" si="16"/>
        <v>3664</v>
      </c>
      <c r="M55" s="233">
        <f t="shared" si="16"/>
        <v>3474</v>
      </c>
      <c r="N55" s="233">
        <f t="shared" si="16"/>
        <v>3301</v>
      </c>
      <c r="O55" s="233">
        <f t="shared" si="16"/>
        <v>2932</v>
      </c>
      <c r="P55" s="233">
        <f t="shared" si="16"/>
        <v>2839</v>
      </c>
      <c r="Q55" s="253">
        <f t="shared" si="12"/>
        <v>3115.8333333333335</v>
      </c>
      <c r="S55" s="233">
        <f t="shared" si="13"/>
        <v>3116</v>
      </c>
    </row>
    <row r="56" spans="1:159" ht="13" thickBot="1">
      <c r="A56" s="227">
        <f t="shared" si="14"/>
        <v>36</v>
      </c>
      <c r="C56" s="265" t="s">
        <v>581</v>
      </c>
      <c r="D56" s="263"/>
      <c r="E56" s="268">
        <f>+E54+E55</f>
        <v>5558</v>
      </c>
      <c r="F56" s="268">
        <f t="shared" ref="F56:P56" si="17">+F54+F55</f>
        <v>5683</v>
      </c>
      <c r="G56" s="268">
        <f t="shared" si="17"/>
        <v>5777</v>
      </c>
      <c r="H56" s="268">
        <f t="shared" si="17"/>
        <v>5023</v>
      </c>
      <c r="I56" s="268">
        <f t="shared" si="17"/>
        <v>6022</v>
      </c>
      <c r="J56" s="268">
        <f t="shared" si="17"/>
        <v>7086</v>
      </c>
      <c r="K56" s="268">
        <f t="shared" si="17"/>
        <v>7380</v>
      </c>
      <c r="L56" s="268">
        <f t="shared" si="17"/>
        <v>7753</v>
      </c>
      <c r="M56" s="268">
        <f t="shared" si="17"/>
        <v>7205</v>
      </c>
      <c r="N56" s="268">
        <f t="shared" si="17"/>
        <v>6828</v>
      </c>
      <c r="O56" s="268">
        <f t="shared" si="17"/>
        <v>5501</v>
      </c>
      <c r="P56" s="268">
        <f t="shared" si="17"/>
        <v>5438</v>
      </c>
      <c r="Q56" s="253">
        <f t="shared" si="12"/>
        <v>6271.166666666667</v>
      </c>
      <c r="S56" s="233">
        <f t="shared" si="13"/>
        <v>6271</v>
      </c>
    </row>
    <row r="57" spans="1:159" ht="13.5" thickTop="1" thickBot="1">
      <c r="A57" s="227">
        <f t="shared" si="14"/>
        <v>37</v>
      </c>
      <c r="C57" s="228"/>
      <c r="D57" s="269" t="s">
        <v>582</v>
      </c>
      <c r="E57" s="268">
        <f t="shared" ref="E57:P57" si="18">E33-E52-E53</f>
        <v>7961</v>
      </c>
      <c r="F57" s="268">
        <f t="shared" si="18"/>
        <v>8102</v>
      </c>
      <c r="G57" s="268">
        <f t="shared" si="18"/>
        <v>8311</v>
      </c>
      <c r="H57" s="268">
        <f t="shared" si="18"/>
        <v>6551</v>
      </c>
      <c r="I57" s="268">
        <f t="shared" si="18"/>
        <v>8064</v>
      </c>
      <c r="J57" s="268">
        <f t="shared" si="18"/>
        <v>9441</v>
      </c>
      <c r="K57" s="268">
        <f t="shared" si="18"/>
        <v>9896</v>
      </c>
      <c r="L57" s="268">
        <f t="shared" si="18"/>
        <v>10417</v>
      </c>
      <c r="M57" s="268">
        <f t="shared" si="18"/>
        <v>9690</v>
      </c>
      <c r="N57" s="268">
        <f t="shared" si="18"/>
        <v>9095</v>
      </c>
      <c r="O57" s="268">
        <f t="shared" si="18"/>
        <v>7930</v>
      </c>
      <c r="P57" s="268">
        <f t="shared" si="18"/>
        <v>7760</v>
      </c>
      <c r="Q57" s="253">
        <f>SUM(E57:P57)/12</f>
        <v>8601.5</v>
      </c>
      <c r="S57" s="233">
        <f t="shared" si="13"/>
        <v>8602</v>
      </c>
    </row>
    <row r="58" spans="1:159" ht="13" thickTop="1">
      <c r="A58" s="227"/>
      <c r="C58" s="228"/>
      <c r="D58" s="269"/>
      <c r="E58" s="256"/>
      <c r="F58" s="256"/>
      <c r="G58" s="256"/>
      <c r="H58" s="256"/>
      <c r="I58" s="256"/>
      <c r="J58" s="256"/>
      <c r="K58" s="256"/>
      <c r="L58" s="256"/>
      <c r="M58" s="256"/>
      <c r="N58" s="256"/>
      <c r="O58" s="256"/>
      <c r="P58" s="256"/>
      <c r="Q58" s="270"/>
    </row>
    <row r="59" spans="1:159" s="1959" customFormat="1" ht="11.5">
      <c r="A59" s="1956"/>
      <c r="B59" s="1957" t="s">
        <v>1078</v>
      </c>
      <c r="C59" s="1958" t="s">
        <v>1079</v>
      </c>
      <c r="D59" s="1956" t="s">
        <v>1080</v>
      </c>
      <c r="I59" s="1960"/>
      <c r="J59" s="1960"/>
      <c r="K59" s="1960"/>
      <c r="L59" s="1960"/>
      <c r="M59" s="1960"/>
      <c r="N59" s="1960"/>
      <c r="O59" s="1960"/>
      <c r="P59" s="1960"/>
      <c r="R59" s="1960"/>
    </row>
    <row r="60" spans="1:159" s="1963" customFormat="1" ht="68.25" customHeight="1">
      <c r="A60" s="1955"/>
      <c r="B60" s="1955"/>
      <c r="C60" s="1961" t="s">
        <v>1081</v>
      </c>
      <c r="D60" s="1973" t="s">
        <v>1082</v>
      </c>
      <c r="E60" s="1973"/>
      <c r="F60" s="1973"/>
      <c r="G60" s="1973"/>
      <c r="H60" s="1973"/>
      <c r="I60" s="1973"/>
      <c r="J60" s="1973"/>
      <c r="K60" s="1973"/>
      <c r="L60" s="1973"/>
      <c r="M60" s="1973"/>
      <c r="N60" s="1973"/>
      <c r="O60" s="1973"/>
      <c r="P60" s="1955"/>
      <c r="Q60" s="1955"/>
      <c r="R60" s="1962"/>
      <c r="S60" s="1955"/>
      <c r="T60" s="1955"/>
      <c r="U60" s="1955"/>
      <c r="V60" s="1955"/>
      <c r="W60" s="1955"/>
      <c r="X60" s="1955"/>
      <c r="Y60" s="1955"/>
      <c r="Z60" s="1955"/>
      <c r="AA60" s="1955"/>
      <c r="AB60" s="1955"/>
      <c r="AC60" s="1955"/>
      <c r="AD60" s="1955"/>
      <c r="AE60" s="1955"/>
      <c r="AF60" s="1955"/>
      <c r="AG60" s="1955"/>
      <c r="AH60" s="1955"/>
      <c r="AI60" s="1955"/>
      <c r="AJ60" s="1955"/>
      <c r="AK60" s="1955"/>
      <c r="AL60" s="1955"/>
      <c r="AM60" s="1955"/>
      <c r="AN60" s="1955"/>
      <c r="AO60" s="1955"/>
      <c r="AP60" s="1955"/>
      <c r="AQ60" s="1955"/>
      <c r="AR60" s="1955"/>
      <c r="AS60" s="1955"/>
      <c r="AT60" s="1955"/>
      <c r="AU60" s="1955"/>
      <c r="AV60" s="1955"/>
      <c r="AW60" s="1955"/>
      <c r="AX60" s="1955"/>
      <c r="AY60" s="1955"/>
      <c r="AZ60" s="1955"/>
      <c r="BA60" s="1955"/>
      <c r="BB60" s="1955"/>
      <c r="BC60" s="1955"/>
      <c r="BD60" s="1955"/>
      <c r="BE60" s="1955"/>
      <c r="BF60" s="1955"/>
      <c r="BG60" s="1955"/>
      <c r="BH60" s="1955"/>
      <c r="BI60" s="1955"/>
      <c r="BJ60" s="1955"/>
      <c r="BK60" s="1955"/>
      <c r="BL60" s="1955"/>
      <c r="BM60" s="1955"/>
      <c r="BN60" s="1955"/>
      <c r="BO60" s="1955"/>
      <c r="BP60" s="1955"/>
      <c r="BQ60" s="1955"/>
      <c r="BR60" s="1955"/>
      <c r="BS60" s="1955"/>
      <c r="BT60" s="1955"/>
      <c r="BU60" s="1955"/>
      <c r="BV60" s="1955"/>
      <c r="BW60" s="1955"/>
      <c r="BX60" s="1955"/>
      <c r="BY60" s="1955"/>
      <c r="BZ60" s="1955"/>
      <c r="CA60" s="1955"/>
      <c r="CB60" s="1955"/>
      <c r="CC60" s="1955"/>
      <c r="CD60" s="1955"/>
      <c r="CE60" s="1955"/>
      <c r="CF60" s="1955"/>
      <c r="CG60" s="1955"/>
      <c r="CH60" s="1955"/>
      <c r="CI60" s="1955"/>
      <c r="CJ60" s="1955"/>
      <c r="CK60" s="1955"/>
      <c r="CL60" s="1955"/>
      <c r="CM60" s="1955"/>
      <c r="CN60" s="1955"/>
      <c r="CO60" s="1955"/>
      <c r="CP60" s="1955"/>
      <c r="CQ60" s="1955"/>
      <c r="CR60" s="1955"/>
      <c r="CS60" s="1955"/>
      <c r="CT60" s="1955"/>
      <c r="CU60" s="1955"/>
      <c r="CV60" s="1955"/>
      <c r="CW60" s="1955"/>
      <c r="CX60" s="1955"/>
      <c r="CY60" s="1955"/>
      <c r="CZ60" s="1955"/>
      <c r="DA60" s="1955"/>
      <c r="DB60" s="1955"/>
      <c r="DC60" s="1955"/>
      <c r="DD60" s="1955"/>
      <c r="DE60" s="1955"/>
      <c r="DF60" s="1955"/>
      <c r="DG60" s="1955"/>
      <c r="DH60" s="1955"/>
      <c r="DI60" s="1955"/>
      <c r="DJ60" s="1955"/>
      <c r="DK60" s="1955"/>
      <c r="DL60" s="1955"/>
      <c r="DM60" s="1955"/>
      <c r="DN60" s="1955"/>
      <c r="DO60" s="1955"/>
      <c r="DP60" s="1955"/>
      <c r="DQ60" s="1955"/>
      <c r="DR60" s="1955"/>
      <c r="DS60" s="1955"/>
      <c r="DT60" s="1955"/>
      <c r="DU60" s="1955"/>
      <c r="DV60" s="1955"/>
      <c r="DW60" s="1955"/>
      <c r="DX60" s="1955"/>
      <c r="DY60" s="1955"/>
      <c r="DZ60" s="1955"/>
      <c r="EA60" s="1955"/>
      <c r="EB60" s="1955"/>
      <c r="EC60" s="1955"/>
      <c r="ED60" s="1955"/>
      <c r="EE60" s="1955"/>
      <c r="EF60" s="1955"/>
      <c r="EG60" s="1955"/>
      <c r="EH60" s="1955"/>
      <c r="EI60" s="1955"/>
      <c r="EJ60" s="1955"/>
      <c r="EK60" s="1955"/>
      <c r="EL60" s="1955"/>
      <c r="EM60" s="1955"/>
      <c r="EN60" s="1955"/>
      <c r="EO60" s="1955"/>
      <c r="EP60" s="1955"/>
      <c r="EQ60" s="1955"/>
      <c r="ER60" s="1955"/>
      <c r="ES60" s="1955"/>
      <c r="ET60" s="1955"/>
      <c r="EU60" s="1955"/>
      <c r="EV60" s="1955"/>
      <c r="EW60" s="1955"/>
      <c r="EX60" s="1955"/>
      <c r="EY60" s="1955"/>
      <c r="EZ60" s="1955"/>
      <c r="FA60" s="1955"/>
      <c r="FB60" s="1955"/>
      <c r="FC60" s="1955"/>
    </row>
    <row r="61" spans="1:159" s="1959" customFormat="1" ht="11.5">
      <c r="A61" s="1955"/>
      <c r="B61" s="1955"/>
      <c r="C61" s="1973" t="s">
        <v>1083</v>
      </c>
      <c r="D61" s="1973"/>
      <c r="E61" s="1973"/>
      <c r="F61" s="1973"/>
      <c r="G61" s="1973"/>
      <c r="H61" s="1973"/>
      <c r="I61" s="1973"/>
      <c r="J61" s="1973"/>
      <c r="K61" s="1973"/>
      <c r="L61" s="1973"/>
      <c r="M61" s="1973"/>
      <c r="N61" s="1973"/>
      <c r="O61" s="1961"/>
      <c r="P61" s="1955"/>
      <c r="R61" s="1960"/>
    </row>
    <row r="62" spans="1:159">
      <c r="A62" s="227"/>
      <c r="C62" s="271"/>
      <c r="D62" s="132"/>
    </row>
    <row r="63" spans="1:159">
      <c r="C63" s="271"/>
      <c r="D63" s="271"/>
      <c r="Q63" s="253"/>
      <c r="R63" s="233"/>
    </row>
    <row r="64" spans="1:159">
      <c r="A64" s="227"/>
      <c r="C64" s="271"/>
      <c r="D64" s="132"/>
      <c r="Q64" s="253"/>
      <c r="R64" s="233"/>
    </row>
    <row r="65" spans="1:18">
      <c r="A65" s="227"/>
      <c r="Q65" s="253"/>
      <c r="R65" s="233"/>
    </row>
    <row r="67" spans="1:18">
      <c r="A67" s="227"/>
      <c r="Q67" s="253"/>
    </row>
  </sheetData>
  <mergeCells count="2">
    <mergeCell ref="D60:O60"/>
    <mergeCell ref="C61:N61"/>
  </mergeCells>
  <pageMargins left="0.5" right="0.5" top="0.6" bottom="0.5" header="0.5" footer="0.28999999999999998"/>
  <pageSetup scale="10" orientation="landscape" r:id="rId1"/>
  <headerFooter alignWithMargins="0">
    <oddHeader xml:space="preserve">&amp;C
&amp;RAEP - SPP Transco Formula Rate
LOAD WORKSHEET
Page: &amp;P of &amp;N
</oddHeader>
    <oddFooter xml:space="preserve">&amp;L
</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7"/>
  <sheetViews>
    <sheetView zoomScale="90" zoomScaleNormal="90" zoomScaleSheetLayoutView="80" zoomScalePageLayoutView="85" workbookViewId="0">
      <selection activeCell="C11" sqref="C11"/>
    </sheetView>
  </sheetViews>
  <sheetFormatPr defaultColWidth="11.453125" defaultRowHeight="13"/>
  <cols>
    <col min="1" max="1" width="10.26953125" style="1265" customWidth="1"/>
    <col min="2" max="2" width="52.26953125" style="1230" customWidth="1"/>
    <col min="3" max="7" width="20.26953125" style="1230" customWidth="1"/>
    <col min="8" max="8" width="23" style="1230" customWidth="1"/>
    <col min="9" max="11" width="20.26953125" style="1230" customWidth="1"/>
    <col min="12" max="12" width="20" style="1230" customWidth="1"/>
    <col min="13" max="14" width="15.1796875" style="1230" customWidth="1"/>
    <col min="15" max="256" width="11.453125" style="1230"/>
    <col min="257" max="257" width="10.26953125" style="1230" customWidth="1"/>
    <col min="258" max="258" width="52.26953125" style="1230" customWidth="1"/>
    <col min="259" max="263" width="20.26953125" style="1230" customWidth="1"/>
    <col min="264" max="264" width="23" style="1230" customWidth="1"/>
    <col min="265" max="267" width="20.26953125" style="1230" customWidth="1"/>
    <col min="268" max="268" width="20" style="1230" customWidth="1"/>
    <col min="269" max="270" width="15.1796875" style="1230" customWidth="1"/>
    <col min="271" max="512" width="11.453125" style="1230"/>
    <col min="513" max="513" width="10.26953125" style="1230" customWidth="1"/>
    <col min="514" max="514" width="52.26953125" style="1230" customWidth="1"/>
    <col min="515" max="519" width="20.26953125" style="1230" customWidth="1"/>
    <col min="520" max="520" width="23" style="1230" customWidth="1"/>
    <col min="521" max="523" width="20.26953125" style="1230" customWidth="1"/>
    <col min="524" max="524" width="20" style="1230" customWidth="1"/>
    <col min="525" max="526" width="15.1796875" style="1230" customWidth="1"/>
    <col min="527" max="768" width="11.453125" style="1230"/>
    <col min="769" max="769" width="10.26953125" style="1230" customWidth="1"/>
    <col min="770" max="770" width="52.26953125" style="1230" customWidth="1"/>
    <col min="771" max="775" width="20.26953125" style="1230" customWidth="1"/>
    <col min="776" max="776" width="23" style="1230" customWidth="1"/>
    <col min="777" max="779" width="20.26953125" style="1230" customWidth="1"/>
    <col min="780" max="780" width="20" style="1230" customWidth="1"/>
    <col min="781" max="782" width="15.1796875" style="1230" customWidth="1"/>
    <col min="783" max="1024" width="11.453125" style="1230"/>
    <col min="1025" max="1025" width="10.26953125" style="1230" customWidth="1"/>
    <col min="1026" max="1026" width="52.26953125" style="1230" customWidth="1"/>
    <col min="1027" max="1031" width="20.26953125" style="1230" customWidth="1"/>
    <col min="1032" max="1032" width="23" style="1230" customWidth="1"/>
    <col min="1033" max="1035" width="20.26953125" style="1230" customWidth="1"/>
    <col min="1036" max="1036" width="20" style="1230" customWidth="1"/>
    <col min="1037" max="1038" width="15.1796875" style="1230" customWidth="1"/>
    <col min="1039" max="1280" width="11.453125" style="1230"/>
    <col min="1281" max="1281" width="10.26953125" style="1230" customWidth="1"/>
    <col min="1282" max="1282" width="52.26953125" style="1230" customWidth="1"/>
    <col min="1283" max="1287" width="20.26953125" style="1230" customWidth="1"/>
    <col min="1288" max="1288" width="23" style="1230" customWidth="1"/>
    <col min="1289" max="1291" width="20.26953125" style="1230" customWidth="1"/>
    <col min="1292" max="1292" width="20" style="1230" customWidth="1"/>
    <col min="1293" max="1294" width="15.1796875" style="1230" customWidth="1"/>
    <col min="1295" max="1536" width="11.453125" style="1230"/>
    <col min="1537" max="1537" width="10.26953125" style="1230" customWidth="1"/>
    <col min="1538" max="1538" width="52.26953125" style="1230" customWidth="1"/>
    <col min="1539" max="1543" width="20.26953125" style="1230" customWidth="1"/>
    <col min="1544" max="1544" width="23" style="1230" customWidth="1"/>
    <col min="1545" max="1547" width="20.26953125" style="1230" customWidth="1"/>
    <col min="1548" max="1548" width="20" style="1230" customWidth="1"/>
    <col min="1549" max="1550" width="15.1796875" style="1230" customWidth="1"/>
    <col min="1551" max="1792" width="11.453125" style="1230"/>
    <col min="1793" max="1793" width="10.26953125" style="1230" customWidth="1"/>
    <col min="1794" max="1794" width="52.26953125" style="1230" customWidth="1"/>
    <col min="1795" max="1799" width="20.26953125" style="1230" customWidth="1"/>
    <col min="1800" max="1800" width="23" style="1230" customWidth="1"/>
    <col min="1801" max="1803" width="20.26953125" style="1230" customWidth="1"/>
    <col min="1804" max="1804" width="20" style="1230" customWidth="1"/>
    <col min="1805" max="1806" width="15.1796875" style="1230" customWidth="1"/>
    <col min="1807" max="2048" width="11.453125" style="1230"/>
    <col min="2049" max="2049" width="10.26953125" style="1230" customWidth="1"/>
    <col min="2050" max="2050" width="52.26953125" style="1230" customWidth="1"/>
    <col min="2051" max="2055" width="20.26953125" style="1230" customWidth="1"/>
    <col min="2056" max="2056" width="23" style="1230" customWidth="1"/>
    <col min="2057" max="2059" width="20.26953125" style="1230" customWidth="1"/>
    <col min="2060" max="2060" width="20" style="1230" customWidth="1"/>
    <col min="2061" max="2062" width="15.1796875" style="1230" customWidth="1"/>
    <col min="2063" max="2304" width="11.453125" style="1230"/>
    <col min="2305" max="2305" width="10.26953125" style="1230" customWidth="1"/>
    <col min="2306" max="2306" width="52.26953125" style="1230" customWidth="1"/>
    <col min="2307" max="2311" width="20.26953125" style="1230" customWidth="1"/>
    <col min="2312" max="2312" width="23" style="1230" customWidth="1"/>
    <col min="2313" max="2315" width="20.26953125" style="1230" customWidth="1"/>
    <col min="2316" max="2316" width="20" style="1230" customWidth="1"/>
    <col min="2317" max="2318" width="15.1796875" style="1230" customWidth="1"/>
    <col min="2319" max="2560" width="11.453125" style="1230"/>
    <col min="2561" max="2561" width="10.26953125" style="1230" customWidth="1"/>
    <col min="2562" max="2562" width="52.26953125" style="1230" customWidth="1"/>
    <col min="2563" max="2567" width="20.26953125" style="1230" customWidth="1"/>
    <col min="2568" max="2568" width="23" style="1230" customWidth="1"/>
    <col min="2569" max="2571" width="20.26953125" style="1230" customWidth="1"/>
    <col min="2572" max="2572" width="20" style="1230" customWidth="1"/>
    <col min="2573" max="2574" width="15.1796875" style="1230" customWidth="1"/>
    <col min="2575" max="2816" width="11.453125" style="1230"/>
    <col min="2817" max="2817" width="10.26953125" style="1230" customWidth="1"/>
    <col min="2818" max="2818" width="52.26953125" style="1230" customWidth="1"/>
    <col min="2819" max="2823" width="20.26953125" style="1230" customWidth="1"/>
    <col min="2824" max="2824" width="23" style="1230" customWidth="1"/>
    <col min="2825" max="2827" width="20.26953125" style="1230" customWidth="1"/>
    <col min="2828" max="2828" width="20" style="1230" customWidth="1"/>
    <col min="2829" max="2830" width="15.1796875" style="1230" customWidth="1"/>
    <col min="2831" max="3072" width="11.453125" style="1230"/>
    <col min="3073" max="3073" width="10.26953125" style="1230" customWidth="1"/>
    <col min="3074" max="3074" width="52.26953125" style="1230" customWidth="1"/>
    <col min="3075" max="3079" width="20.26953125" style="1230" customWidth="1"/>
    <col min="3080" max="3080" width="23" style="1230" customWidth="1"/>
    <col min="3081" max="3083" width="20.26953125" style="1230" customWidth="1"/>
    <col min="3084" max="3084" width="20" style="1230" customWidth="1"/>
    <col min="3085" max="3086" width="15.1796875" style="1230" customWidth="1"/>
    <col min="3087" max="3328" width="11.453125" style="1230"/>
    <col min="3329" max="3329" width="10.26953125" style="1230" customWidth="1"/>
    <col min="3330" max="3330" width="52.26953125" style="1230" customWidth="1"/>
    <col min="3331" max="3335" width="20.26953125" style="1230" customWidth="1"/>
    <col min="3336" max="3336" width="23" style="1230" customWidth="1"/>
    <col min="3337" max="3339" width="20.26953125" style="1230" customWidth="1"/>
    <col min="3340" max="3340" width="20" style="1230" customWidth="1"/>
    <col min="3341" max="3342" width="15.1796875" style="1230" customWidth="1"/>
    <col min="3343" max="3584" width="11.453125" style="1230"/>
    <col min="3585" max="3585" width="10.26953125" style="1230" customWidth="1"/>
    <col min="3586" max="3586" width="52.26953125" style="1230" customWidth="1"/>
    <col min="3587" max="3591" width="20.26953125" style="1230" customWidth="1"/>
    <col min="3592" max="3592" width="23" style="1230" customWidth="1"/>
    <col min="3593" max="3595" width="20.26953125" style="1230" customWidth="1"/>
    <col min="3596" max="3596" width="20" style="1230" customWidth="1"/>
    <col min="3597" max="3598" width="15.1796875" style="1230" customWidth="1"/>
    <col min="3599" max="3840" width="11.453125" style="1230"/>
    <col min="3841" max="3841" width="10.26953125" style="1230" customWidth="1"/>
    <col min="3842" max="3842" width="52.26953125" style="1230" customWidth="1"/>
    <col min="3843" max="3847" width="20.26953125" style="1230" customWidth="1"/>
    <col min="3848" max="3848" width="23" style="1230" customWidth="1"/>
    <col min="3849" max="3851" width="20.26953125" style="1230" customWidth="1"/>
    <col min="3852" max="3852" width="20" style="1230" customWidth="1"/>
    <col min="3853" max="3854" width="15.1796875" style="1230" customWidth="1"/>
    <col min="3855" max="4096" width="11.453125" style="1230"/>
    <col min="4097" max="4097" width="10.26953125" style="1230" customWidth="1"/>
    <col min="4098" max="4098" width="52.26953125" style="1230" customWidth="1"/>
    <col min="4099" max="4103" width="20.26953125" style="1230" customWidth="1"/>
    <col min="4104" max="4104" width="23" style="1230" customWidth="1"/>
    <col min="4105" max="4107" width="20.26953125" style="1230" customWidth="1"/>
    <col min="4108" max="4108" width="20" style="1230" customWidth="1"/>
    <col min="4109" max="4110" width="15.1796875" style="1230" customWidth="1"/>
    <col min="4111" max="4352" width="11.453125" style="1230"/>
    <col min="4353" max="4353" width="10.26953125" style="1230" customWidth="1"/>
    <col min="4354" max="4354" width="52.26953125" style="1230" customWidth="1"/>
    <col min="4355" max="4359" width="20.26953125" style="1230" customWidth="1"/>
    <col min="4360" max="4360" width="23" style="1230" customWidth="1"/>
    <col min="4361" max="4363" width="20.26953125" style="1230" customWidth="1"/>
    <col min="4364" max="4364" width="20" style="1230" customWidth="1"/>
    <col min="4365" max="4366" width="15.1796875" style="1230" customWidth="1"/>
    <col min="4367" max="4608" width="11.453125" style="1230"/>
    <col min="4609" max="4609" width="10.26953125" style="1230" customWidth="1"/>
    <col min="4610" max="4610" width="52.26953125" style="1230" customWidth="1"/>
    <col min="4611" max="4615" width="20.26953125" style="1230" customWidth="1"/>
    <col min="4616" max="4616" width="23" style="1230" customWidth="1"/>
    <col min="4617" max="4619" width="20.26953125" style="1230" customWidth="1"/>
    <col min="4620" max="4620" width="20" style="1230" customWidth="1"/>
    <col min="4621" max="4622" width="15.1796875" style="1230" customWidth="1"/>
    <col min="4623" max="4864" width="11.453125" style="1230"/>
    <col min="4865" max="4865" width="10.26953125" style="1230" customWidth="1"/>
    <col min="4866" max="4866" width="52.26953125" style="1230" customWidth="1"/>
    <col min="4867" max="4871" width="20.26953125" style="1230" customWidth="1"/>
    <col min="4872" max="4872" width="23" style="1230" customWidth="1"/>
    <col min="4873" max="4875" width="20.26953125" style="1230" customWidth="1"/>
    <col min="4876" max="4876" width="20" style="1230" customWidth="1"/>
    <col min="4877" max="4878" width="15.1796875" style="1230" customWidth="1"/>
    <col min="4879" max="5120" width="11.453125" style="1230"/>
    <col min="5121" max="5121" width="10.26953125" style="1230" customWidth="1"/>
    <col min="5122" max="5122" width="52.26953125" style="1230" customWidth="1"/>
    <col min="5123" max="5127" width="20.26953125" style="1230" customWidth="1"/>
    <col min="5128" max="5128" width="23" style="1230" customWidth="1"/>
    <col min="5129" max="5131" width="20.26953125" style="1230" customWidth="1"/>
    <col min="5132" max="5132" width="20" style="1230" customWidth="1"/>
    <col min="5133" max="5134" width="15.1796875" style="1230" customWidth="1"/>
    <col min="5135" max="5376" width="11.453125" style="1230"/>
    <col min="5377" max="5377" width="10.26953125" style="1230" customWidth="1"/>
    <col min="5378" max="5378" width="52.26953125" style="1230" customWidth="1"/>
    <col min="5379" max="5383" width="20.26953125" style="1230" customWidth="1"/>
    <col min="5384" max="5384" width="23" style="1230" customWidth="1"/>
    <col min="5385" max="5387" width="20.26953125" style="1230" customWidth="1"/>
    <col min="5388" max="5388" width="20" style="1230" customWidth="1"/>
    <col min="5389" max="5390" width="15.1796875" style="1230" customWidth="1"/>
    <col min="5391" max="5632" width="11.453125" style="1230"/>
    <col min="5633" max="5633" width="10.26953125" style="1230" customWidth="1"/>
    <col min="5634" max="5634" width="52.26953125" style="1230" customWidth="1"/>
    <col min="5635" max="5639" width="20.26953125" style="1230" customWidth="1"/>
    <col min="5640" max="5640" width="23" style="1230" customWidth="1"/>
    <col min="5641" max="5643" width="20.26953125" style="1230" customWidth="1"/>
    <col min="5644" max="5644" width="20" style="1230" customWidth="1"/>
    <col min="5645" max="5646" width="15.1796875" style="1230" customWidth="1"/>
    <col min="5647" max="5888" width="11.453125" style="1230"/>
    <col min="5889" max="5889" width="10.26953125" style="1230" customWidth="1"/>
    <col min="5890" max="5890" width="52.26953125" style="1230" customWidth="1"/>
    <col min="5891" max="5895" width="20.26953125" style="1230" customWidth="1"/>
    <col min="5896" max="5896" width="23" style="1230" customWidth="1"/>
    <col min="5897" max="5899" width="20.26953125" style="1230" customWidth="1"/>
    <col min="5900" max="5900" width="20" style="1230" customWidth="1"/>
    <col min="5901" max="5902" width="15.1796875" style="1230" customWidth="1"/>
    <col min="5903" max="6144" width="11.453125" style="1230"/>
    <col min="6145" max="6145" width="10.26953125" style="1230" customWidth="1"/>
    <col min="6146" max="6146" width="52.26953125" style="1230" customWidth="1"/>
    <col min="6147" max="6151" width="20.26953125" style="1230" customWidth="1"/>
    <col min="6152" max="6152" width="23" style="1230" customWidth="1"/>
    <col min="6153" max="6155" width="20.26953125" style="1230" customWidth="1"/>
    <col min="6156" max="6156" width="20" style="1230" customWidth="1"/>
    <col min="6157" max="6158" width="15.1796875" style="1230" customWidth="1"/>
    <col min="6159" max="6400" width="11.453125" style="1230"/>
    <col min="6401" max="6401" width="10.26953125" style="1230" customWidth="1"/>
    <col min="6402" max="6402" width="52.26953125" style="1230" customWidth="1"/>
    <col min="6403" max="6407" width="20.26953125" style="1230" customWidth="1"/>
    <col min="6408" max="6408" width="23" style="1230" customWidth="1"/>
    <col min="6409" max="6411" width="20.26953125" style="1230" customWidth="1"/>
    <col min="6412" max="6412" width="20" style="1230" customWidth="1"/>
    <col min="6413" max="6414" width="15.1796875" style="1230" customWidth="1"/>
    <col min="6415" max="6656" width="11.453125" style="1230"/>
    <col min="6657" max="6657" width="10.26953125" style="1230" customWidth="1"/>
    <col min="6658" max="6658" width="52.26953125" style="1230" customWidth="1"/>
    <col min="6659" max="6663" width="20.26953125" style="1230" customWidth="1"/>
    <col min="6664" max="6664" width="23" style="1230" customWidth="1"/>
    <col min="6665" max="6667" width="20.26953125" style="1230" customWidth="1"/>
    <col min="6668" max="6668" width="20" style="1230" customWidth="1"/>
    <col min="6669" max="6670" width="15.1796875" style="1230" customWidth="1"/>
    <col min="6671" max="6912" width="11.453125" style="1230"/>
    <col min="6913" max="6913" width="10.26953125" style="1230" customWidth="1"/>
    <col min="6914" max="6914" width="52.26953125" style="1230" customWidth="1"/>
    <col min="6915" max="6919" width="20.26953125" style="1230" customWidth="1"/>
    <col min="6920" max="6920" width="23" style="1230" customWidth="1"/>
    <col min="6921" max="6923" width="20.26953125" style="1230" customWidth="1"/>
    <col min="6924" max="6924" width="20" style="1230" customWidth="1"/>
    <col min="6925" max="6926" width="15.1796875" style="1230" customWidth="1"/>
    <col min="6927" max="7168" width="11.453125" style="1230"/>
    <col min="7169" max="7169" width="10.26953125" style="1230" customWidth="1"/>
    <col min="7170" max="7170" width="52.26953125" style="1230" customWidth="1"/>
    <col min="7171" max="7175" width="20.26953125" style="1230" customWidth="1"/>
    <col min="7176" max="7176" width="23" style="1230" customWidth="1"/>
    <col min="7177" max="7179" width="20.26953125" style="1230" customWidth="1"/>
    <col min="7180" max="7180" width="20" style="1230" customWidth="1"/>
    <col min="7181" max="7182" width="15.1796875" style="1230" customWidth="1"/>
    <col min="7183" max="7424" width="11.453125" style="1230"/>
    <col min="7425" max="7425" width="10.26953125" style="1230" customWidth="1"/>
    <col min="7426" max="7426" width="52.26953125" style="1230" customWidth="1"/>
    <col min="7427" max="7431" width="20.26953125" style="1230" customWidth="1"/>
    <col min="7432" max="7432" width="23" style="1230" customWidth="1"/>
    <col min="7433" max="7435" width="20.26953125" style="1230" customWidth="1"/>
    <col min="7436" max="7436" width="20" style="1230" customWidth="1"/>
    <col min="7437" max="7438" width="15.1796875" style="1230" customWidth="1"/>
    <col min="7439" max="7680" width="11.453125" style="1230"/>
    <col min="7681" max="7681" width="10.26953125" style="1230" customWidth="1"/>
    <col min="7682" max="7682" width="52.26953125" style="1230" customWidth="1"/>
    <col min="7683" max="7687" width="20.26953125" style="1230" customWidth="1"/>
    <col min="7688" max="7688" width="23" style="1230" customWidth="1"/>
    <col min="7689" max="7691" width="20.26953125" style="1230" customWidth="1"/>
    <col min="7692" max="7692" width="20" style="1230" customWidth="1"/>
    <col min="7693" max="7694" width="15.1796875" style="1230" customWidth="1"/>
    <col min="7695" max="7936" width="11.453125" style="1230"/>
    <col min="7937" max="7937" width="10.26953125" style="1230" customWidth="1"/>
    <col min="7938" max="7938" width="52.26953125" style="1230" customWidth="1"/>
    <col min="7939" max="7943" width="20.26953125" style="1230" customWidth="1"/>
    <col min="7944" max="7944" width="23" style="1230" customWidth="1"/>
    <col min="7945" max="7947" width="20.26953125" style="1230" customWidth="1"/>
    <col min="7948" max="7948" width="20" style="1230" customWidth="1"/>
    <col min="7949" max="7950" width="15.1796875" style="1230" customWidth="1"/>
    <col min="7951" max="8192" width="11.453125" style="1230"/>
    <col min="8193" max="8193" width="10.26953125" style="1230" customWidth="1"/>
    <col min="8194" max="8194" width="52.26953125" style="1230" customWidth="1"/>
    <col min="8195" max="8199" width="20.26953125" style="1230" customWidth="1"/>
    <col min="8200" max="8200" width="23" style="1230" customWidth="1"/>
    <col min="8201" max="8203" width="20.26953125" style="1230" customWidth="1"/>
    <col min="8204" max="8204" width="20" style="1230" customWidth="1"/>
    <col min="8205" max="8206" width="15.1796875" style="1230" customWidth="1"/>
    <col min="8207" max="8448" width="11.453125" style="1230"/>
    <col min="8449" max="8449" width="10.26953125" style="1230" customWidth="1"/>
    <col min="8450" max="8450" width="52.26953125" style="1230" customWidth="1"/>
    <col min="8451" max="8455" width="20.26953125" style="1230" customWidth="1"/>
    <col min="8456" max="8456" width="23" style="1230" customWidth="1"/>
    <col min="8457" max="8459" width="20.26953125" style="1230" customWidth="1"/>
    <col min="8460" max="8460" width="20" style="1230" customWidth="1"/>
    <col min="8461" max="8462" width="15.1796875" style="1230" customWidth="1"/>
    <col min="8463" max="8704" width="11.453125" style="1230"/>
    <col min="8705" max="8705" width="10.26953125" style="1230" customWidth="1"/>
    <col min="8706" max="8706" width="52.26953125" style="1230" customWidth="1"/>
    <col min="8707" max="8711" width="20.26953125" style="1230" customWidth="1"/>
    <col min="8712" max="8712" width="23" style="1230" customWidth="1"/>
    <col min="8713" max="8715" width="20.26953125" style="1230" customWidth="1"/>
    <col min="8716" max="8716" width="20" style="1230" customWidth="1"/>
    <col min="8717" max="8718" width="15.1796875" style="1230" customWidth="1"/>
    <col min="8719" max="8960" width="11.453125" style="1230"/>
    <col min="8961" max="8961" width="10.26953125" style="1230" customWidth="1"/>
    <col min="8962" max="8962" width="52.26953125" style="1230" customWidth="1"/>
    <col min="8963" max="8967" width="20.26953125" style="1230" customWidth="1"/>
    <col min="8968" max="8968" width="23" style="1230" customWidth="1"/>
    <col min="8969" max="8971" width="20.26953125" style="1230" customWidth="1"/>
    <col min="8972" max="8972" width="20" style="1230" customWidth="1"/>
    <col min="8973" max="8974" width="15.1796875" style="1230" customWidth="1"/>
    <col min="8975" max="9216" width="11.453125" style="1230"/>
    <col min="9217" max="9217" width="10.26953125" style="1230" customWidth="1"/>
    <col min="9218" max="9218" width="52.26953125" style="1230" customWidth="1"/>
    <col min="9219" max="9223" width="20.26953125" style="1230" customWidth="1"/>
    <col min="9224" max="9224" width="23" style="1230" customWidth="1"/>
    <col min="9225" max="9227" width="20.26953125" style="1230" customWidth="1"/>
    <col min="9228" max="9228" width="20" style="1230" customWidth="1"/>
    <col min="9229" max="9230" width="15.1796875" style="1230" customWidth="1"/>
    <col min="9231" max="9472" width="11.453125" style="1230"/>
    <col min="9473" max="9473" width="10.26953125" style="1230" customWidth="1"/>
    <col min="9474" max="9474" width="52.26953125" style="1230" customWidth="1"/>
    <col min="9475" max="9479" width="20.26953125" style="1230" customWidth="1"/>
    <col min="9480" max="9480" width="23" style="1230" customWidth="1"/>
    <col min="9481" max="9483" width="20.26953125" style="1230" customWidth="1"/>
    <col min="9484" max="9484" width="20" style="1230" customWidth="1"/>
    <col min="9485" max="9486" width="15.1796875" style="1230" customWidth="1"/>
    <col min="9487" max="9728" width="11.453125" style="1230"/>
    <col min="9729" max="9729" width="10.26953125" style="1230" customWidth="1"/>
    <col min="9730" max="9730" width="52.26953125" style="1230" customWidth="1"/>
    <col min="9731" max="9735" width="20.26953125" style="1230" customWidth="1"/>
    <col min="9736" max="9736" width="23" style="1230" customWidth="1"/>
    <col min="9737" max="9739" width="20.26953125" style="1230" customWidth="1"/>
    <col min="9740" max="9740" width="20" style="1230" customWidth="1"/>
    <col min="9741" max="9742" width="15.1796875" style="1230" customWidth="1"/>
    <col min="9743" max="9984" width="11.453125" style="1230"/>
    <col min="9985" max="9985" width="10.26953125" style="1230" customWidth="1"/>
    <col min="9986" max="9986" width="52.26953125" style="1230" customWidth="1"/>
    <col min="9987" max="9991" width="20.26953125" style="1230" customWidth="1"/>
    <col min="9992" max="9992" width="23" style="1230" customWidth="1"/>
    <col min="9993" max="9995" width="20.26953125" style="1230" customWidth="1"/>
    <col min="9996" max="9996" width="20" style="1230" customWidth="1"/>
    <col min="9997" max="9998" width="15.1796875" style="1230" customWidth="1"/>
    <col min="9999" max="10240" width="11.453125" style="1230"/>
    <col min="10241" max="10241" width="10.26953125" style="1230" customWidth="1"/>
    <col min="10242" max="10242" width="52.26953125" style="1230" customWidth="1"/>
    <col min="10243" max="10247" width="20.26953125" style="1230" customWidth="1"/>
    <col min="10248" max="10248" width="23" style="1230" customWidth="1"/>
    <col min="10249" max="10251" width="20.26953125" style="1230" customWidth="1"/>
    <col min="10252" max="10252" width="20" style="1230" customWidth="1"/>
    <col min="10253" max="10254" width="15.1796875" style="1230" customWidth="1"/>
    <col min="10255" max="10496" width="11.453125" style="1230"/>
    <col min="10497" max="10497" width="10.26953125" style="1230" customWidth="1"/>
    <col min="10498" max="10498" width="52.26953125" style="1230" customWidth="1"/>
    <col min="10499" max="10503" width="20.26953125" style="1230" customWidth="1"/>
    <col min="10504" max="10504" width="23" style="1230" customWidth="1"/>
    <col min="10505" max="10507" width="20.26953125" style="1230" customWidth="1"/>
    <col min="10508" max="10508" width="20" style="1230" customWidth="1"/>
    <col min="10509" max="10510" width="15.1796875" style="1230" customWidth="1"/>
    <col min="10511" max="10752" width="11.453125" style="1230"/>
    <col min="10753" max="10753" width="10.26953125" style="1230" customWidth="1"/>
    <col min="10754" max="10754" width="52.26953125" style="1230" customWidth="1"/>
    <col min="10755" max="10759" width="20.26953125" style="1230" customWidth="1"/>
    <col min="10760" max="10760" width="23" style="1230" customWidth="1"/>
    <col min="10761" max="10763" width="20.26953125" style="1230" customWidth="1"/>
    <col min="10764" max="10764" width="20" style="1230" customWidth="1"/>
    <col min="10765" max="10766" width="15.1796875" style="1230" customWidth="1"/>
    <col min="10767" max="11008" width="11.453125" style="1230"/>
    <col min="11009" max="11009" width="10.26953125" style="1230" customWidth="1"/>
    <col min="11010" max="11010" width="52.26953125" style="1230" customWidth="1"/>
    <col min="11011" max="11015" width="20.26953125" style="1230" customWidth="1"/>
    <col min="11016" max="11016" width="23" style="1230" customWidth="1"/>
    <col min="11017" max="11019" width="20.26953125" style="1230" customWidth="1"/>
    <col min="11020" max="11020" width="20" style="1230" customWidth="1"/>
    <col min="11021" max="11022" width="15.1796875" style="1230" customWidth="1"/>
    <col min="11023" max="11264" width="11.453125" style="1230"/>
    <col min="11265" max="11265" width="10.26953125" style="1230" customWidth="1"/>
    <col min="11266" max="11266" width="52.26953125" style="1230" customWidth="1"/>
    <col min="11267" max="11271" width="20.26953125" style="1230" customWidth="1"/>
    <col min="11272" max="11272" width="23" style="1230" customWidth="1"/>
    <col min="11273" max="11275" width="20.26953125" style="1230" customWidth="1"/>
    <col min="11276" max="11276" width="20" style="1230" customWidth="1"/>
    <col min="11277" max="11278" width="15.1796875" style="1230" customWidth="1"/>
    <col min="11279" max="11520" width="11.453125" style="1230"/>
    <col min="11521" max="11521" width="10.26953125" style="1230" customWidth="1"/>
    <col min="11522" max="11522" width="52.26953125" style="1230" customWidth="1"/>
    <col min="11523" max="11527" width="20.26953125" style="1230" customWidth="1"/>
    <col min="11528" max="11528" width="23" style="1230" customWidth="1"/>
    <col min="11529" max="11531" width="20.26953125" style="1230" customWidth="1"/>
    <col min="11532" max="11532" width="20" style="1230" customWidth="1"/>
    <col min="11533" max="11534" width="15.1796875" style="1230" customWidth="1"/>
    <col min="11535" max="11776" width="11.453125" style="1230"/>
    <col min="11777" max="11777" width="10.26953125" style="1230" customWidth="1"/>
    <col min="11778" max="11778" width="52.26953125" style="1230" customWidth="1"/>
    <col min="11779" max="11783" width="20.26953125" style="1230" customWidth="1"/>
    <col min="11784" max="11784" width="23" style="1230" customWidth="1"/>
    <col min="11785" max="11787" width="20.26953125" style="1230" customWidth="1"/>
    <col min="11788" max="11788" width="20" style="1230" customWidth="1"/>
    <col min="11789" max="11790" width="15.1796875" style="1230" customWidth="1"/>
    <col min="11791" max="12032" width="11.453125" style="1230"/>
    <col min="12033" max="12033" width="10.26953125" style="1230" customWidth="1"/>
    <col min="12034" max="12034" width="52.26953125" style="1230" customWidth="1"/>
    <col min="12035" max="12039" width="20.26953125" style="1230" customWidth="1"/>
    <col min="12040" max="12040" width="23" style="1230" customWidth="1"/>
    <col min="12041" max="12043" width="20.26953125" style="1230" customWidth="1"/>
    <col min="12044" max="12044" width="20" style="1230" customWidth="1"/>
    <col min="12045" max="12046" width="15.1796875" style="1230" customWidth="1"/>
    <col min="12047" max="12288" width="11.453125" style="1230"/>
    <col min="12289" max="12289" width="10.26953125" style="1230" customWidth="1"/>
    <col min="12290" max="12290" width="52.26953125" style="1230" customWidth="1"/>
    <col min="12291" max="12295" width="20.26953125" style="1230" customWidth="1"/>
    <col min="12296" max="12296" width="23" style="1230" customWidth="1"/>
    <col min="12297" max="12299" width="20.26953125" style="1230" customWidth="1"/>
    <col min="12300" max="12300" width="20" style="1230" customWidth="1"/>
    <col min="12301" max="12302" width="15.1796875" style="1230" customWidth="1"/>
    <col min="12303" max="12544" width="11.453125" style="1230"/>
    <col min="12545" max="12545" width="10.26953125" style="1230" customWidth="1"/>
    <col min="12546" max="12546" width="52.26953125" style="1230" customWidth="1"/>
    <col min="12547" max="12551" width="20.26953125" style="1230" customWidth="1"/>
    <col min="12552" max="12552" width="23" style="1230" customWidth="1"/>
    <col min="12553" max="12555" width="20.26953125" style="1230" customWidth="1"/>
    <col min="12556" max="12556" width="20" style="1230" customWidth="1"/>
    <col min="12557" max="12558" width="15.1796875" style="1230" customWidth="1"/>
    <col min="12559" max="12800" width="11.453125" style="1230"/>
    <col min="12801" max="12801" width="10.26953125" style="1230" customWidth="1"/>
    <col min="12802" max="12802" width="52.26953125" style="1230" customWidth="1"/>
    <col min="12803" max="12807" width="20.26953125" style="1230" customWidth="1"/>
    <col min="12808" max="12808" width="23" style="1230" customWidth="1"/>
    <col min="12809" max="12811" width="20.26953125" style="1230" customWidth="1"/>
    <col min="12812" max="12812" width="20" style="1230" customWidth="1"/>
    <col min="12813" max="12814" width="15.1796875" style="1230" customWidth="1"/>
    <col min="12815" max="13056" width="11.453125" style="1230"/>
    <col min="13057" max="13057" width="10.26953125" style="1230" customWidth="1"/>
    <col min="13058" max="13058" width="52.26953125" style="1230" customWidth="1"/>
    <col min="13059" max="13063" width="20.26953125" style="1230" customWidth="1"/>
    <col min="13064" max="13064" width="23" style="1230" customWidth="1"/>
    <col min="13065" max="13067" width="20.26953125" style="1230" customWidth="1"/>
    <col min="13068" max="13068" width="20" style="1230" customWidth="1"/>
    <col min="13069" max="13070" width="15.1796875" style="1230" customWidth="1"/>
    <col min="13071" max="13312" width="11.453125" style="1230"/>
    <col min="13313" max="13313" width="10.26953125" style="1230" customWidth="1"/>
    <col min="13314" max="13314" width="52.26953125" style="1230" customWidth="1"/>
    <col min="13315" max="13319" width="20.26953125" style="1230" customWidth="1"/>
    <col min="13320" max="13320" width="23" style="1230" customWidth="1"/>
    <col min="13321" max="13323" width="20.26953125" style="1230" customWidth="1"/>
    <col min="13324" max="13324" width="20" style="1230" customWidth="1"/>
    <col min="13325" max="13326" width="15.1796875" style="1230" customWidth="1"/>
    <col min="13327" max="13568" width="11.453125" style="1230"/>
    <col min="13569" max="13569" width="10.26953125" style="1230" customWidth="1"/>
    <col min="13570" max="13570" width="52.26953125" style="1230" customWidth="1"/>
    <col min="13571" max="13575" width="20.26953125" style="1230" customWidth="1"/>
    <col min="13576" max="13576" width="23" style="1230" customWidth="1"/>
    <col min="13577" max="13579" width="20.26953125" style="1230" customWidth="1"/>
    <col min="13580" max="13580" width="20" style="1230" customWidth="1"/>
    <col min="13581" max="13582" width="15.1796875" style="1230" customWidth="1"/>
    <col min="13583" max="13824" width="11.453125" style="1230"/>
    <col min="13825" max="13825" width="10.26953125" style="1230" customWidth="1"/>
    <col min="13826" max="13826" width="52.26953125" style="1230" customWidth="1"/>
    <col min="13827" max="13831" width="20.26953125" style="1230" customWidth="1"/>
    <col min="13832" max="13832" width="23" style="1230" customWidth="1"/>
    <col min="13833" max="13835" width="20.26953125" style="1230" customWidth="1"/>
    <col min="13836" max="13836" width="20" style="1230" customWidth="1"/>
    <col min="13837" max="13838" width="15.1796875" style="1230" customWidth="1"/>
    <col min="13839" max="14080" width="11.453125" style="1230"/>
    <col min="14081" max="14081" width="10.26953125" style="1230" customWidth="1"/>
    <col min="14082" max="14082" width="52.26953125" style="1230" customWidth="1"/>
    <col min="14083" max="14087" width="20.26953125" style="1230" customWidth="1"/>
    <col min="14088" max="14088" width="23" style="1230" customWidth="1"/>
    <col min="14089" max="14091" width="20.26953125" style="1230" customWidth="1"/>
    <col min="14092" max="14092" width="20" style="1230" customWidth="1"/>
    <col min="14093" max="14094" width="15.1796875" style="1230" customWidth="1"/>
    <col min="14095" max="14336" width="11.453125" style="1230"/>
    <col min="14337" max="14337" width="10.26953125" style="1230" customWidth="1"/>
    <col min="14338" max="14338" width="52.26953125" style="1230" customWidth="1"/>
    <col min="14339" max="14343" width="20.26953125" style="1230" customWidth="1"/>
    <col min="14344" max="14344" width="23" style="1230" customWidth="1"/>
    <col min="14345" max="14347" width="20.26953125" style="1230" customWidth="1"/>
    <col min="14348" max="14348" width="20" style="1230" customWidth="1"/>
    <col min="14349" max="14350" width="15.1796875" style="1230" customWidth="1"/>
    <col min="14351" max="14592" width="11.453125" style="1230"/>
    <col min="14593" max="14593" width="10.26953125" style="1230" customWidth="1"/>
    <col min="14594" max="14594" width="52.26953125" style="1230" customWidth="1"/>
    <col min="14595" max="14599" width="20.26953125" style="1230" customWidth="1"/>
    <col min="14600" max="14600" width="23" style="1230" customWidth="1"/>
    <col min="14601" max="14603" width="20.26953125" style="1230" customWidth="1"/>
    <col min="14604" max="14604" width="20" style="1230" customWidth="1"/>
    <col min="14605" max="14606" width="15.1796875" style="1230" customWidth="1"/>
    <col min="14607" max="14848" width="11.453125" style="1230"/>
    <col min="14849" max="14849" width="10.26953125" style="1230" customWidth="1"/>
    <col min="14850" max="14850" width="52.26953125" style="1230" customWidth="1"/>
    <col min="14851" max="14855" width="20.26953125" style="1230" customWidth="1"/>
    <col min="14856" max="14856" width="23" style="1230" customWidth="1"/>
    <col min="14857" max="14859" width="20.26953125" style="1230" customWidth="1"/>
    <col min="14860" max="14860" width="20" style="1230" customWidth="1"/>
    <col min="14861" max="14862" width="15.1796875" style="1230" customWidth="1"/>
    <col min="14863" max="15104" width="11.453125" style="1230"/>
    <col min="15105" max="15105" width="10.26953125" style="1230" customWidth="1"/>
    <col min="15106" max="15106" width="52.26953125" style="1230" customWidth="1"/>
    <col min="15107" max="15111" width="20.26953125" style="1230" customWidth="1"/>
    <col min="15112" max="15112" width="23" style="1230" customWidth="1"/>
    <col min="15113" max="15115" width="20.26953125" style="1230" customWidth="1"/>
    <col min="15116" max="15116" width="20" style="1230" customWidth="1"/>
    <col min="15117" max="15118" width="15.1796875" style="1230" customWidth="1"/>
    <col min="15119" max="15360" width="11.453125" style="1230"/>
    <col min="15361" max="15361" width="10.26953125" style="1230" customWidth="1"/>
    <col min="15362" max="15362" width="52.26953125" style="1230" customWidth="1"/>
    <col min="15363" max="15367" width="20.26953125" style="1230" customWidth="1"/>
    <col min="15368" max="15368" width="23" style="1230" customWidth="1"/>
    <col min="15369" max="15371" width="20.26953125" style="1230" customWidth="1"/>
    <col min="15372" max="15372" width="20" style="1230" customWidth="1"/>
    <col min="15373" max="15374" width="15.1796875" style="1230" customWidth="1"/>
    <col min="15375" max="15616" width="11.453125" style="1230"/>
    <col min="15617" max="15617" width="10.26953125" style="1230" customWidth="1"/>
    <col min="15618" max="15618" width="52.26953125" style="1230" customWidth="1"/>
    <col min="15619" max="15623" width="20.26953125" style="1230" customWidth="1"/>
    <col min="15624" max="15624" width="23" style="1230" customWidth="1"/>
    <col min="15625" max="15627" width="20.26953125" style="1230" customWidth="1"/>
    <col min="15628" max="15628" width="20" style="1230" customWidth="1"/>
    <col min="15629" max="15630" width="15.1796875" style="1230" customWidth="1"/>
    <col min="15631" max="15872" width="11.453125" style="1230"/>
    <col min="15873" max="15873" width="10.26953125" style="1230" customWidth="1"/>
    <col min="15874" max="15874" width="52.26953125" style="1230" customWidth="1"/>
    <col min="15875" max="15879" width="20.26953125" style="1230" customWidth="1"/>
    <col min="15880" max="15880" width="23" style="1230" customWidth="1"/>
    <col min="15881" max="15883" width="20.26953125" style="1230" customWidth="1"/>
    <col min="15884" max="15884" width="20" style="1230" customWidth="1"/>
    <col min="15885" max="15886" width="15.1796875" style="1230" customWidth="1"/>
    <col min="15887" max="16128" width="11.453125" style="1230"/>
    <col min="16129" max="16129" width="10.26953125" style="1230" customWidth="1"/>
    <col min="16130" max="16130" width="52.26953125" style="1230" customWidth="1"/>
    <col min="16131" max="16135" width="20.26953125" style="1230" customWidth="1"/>
    <col min="16136" max="16136" width="23" style="1230" customWidth="1"/>
    <col min="16137" max="16139" width="20.26953125" style="1230" customWidth="1"/>
    <col min="16140" max="16140" width="20" style="1230" customWidth="1"/>
    <col min="16141" max="16142" width="15.1796875" style="1230" customWidth="1"/>
    <col min="16143" max="16384" width="11.453125" style="1230"/>
  </cols>
  <sheetData>
    <row r="1" spans="1:22" ht="15.5">
      <c r="A1" s="1183"/>
      <c r="B1" s="1855"/>
      <c r="C1" s="1855"/>
      <c r="D1" s="1855"/>
      <c r="E1" s="1856"/>
      <c r="F1" s="1857"/>
      <c r="G1" s="1857"/>
      <c r="H1" s="1857"/>
      <c r="I1" s="1857"/>
      <c r="J1" s="1857"/>
      <c r="K1" s="1857"/>
      <c r="L1" s="1857"/>
      <c r="M1" s="1857"/>
    </row>
    <row r="2" spans="1:22" ht="15.5">
      <c r="A2" s="1996" t="str">
        <f>+'SWT TCOS'!F4</f>
        <v xml:space="preserve">AEP West SPP Member Transmission Companies </v>
      </c>
      <c r="B2" s="1996"/>
      <c r="C2" s="1996"/>
      <c r="D2" s="1996"/>
      <c r="E2" s="1996"/>
      <c r="F2" s="1996"/>
      <c r="G2" s="1996"/>
      <c r="H2" s="1996"/>
      <c r="I2" s="278"/>
      <c r="J2" s="278"/>
      <c r="K2" s="278"/>
      <c r="L2" s="278"/>
      <c r="M2" s="278"/>
    </row>
    <row r="3" spans="1:22" ht="15.5">
      <c r="A3" s="2086" t="str">
        <f>+'SWT WS A-1 - Plant'!A3</f>
        <v xml:space="preserve">Actual / Projected 2019 Rate Year Cost of Service Formula Rate </v>
      </c>
      <c r="B3" s="2086"/>
      <c r="C3" s="2086"/>
      <c r="D3" s="2086"/>
      <c r="E3" s="2086"/>
      <c r="F3" s="2086"/>
      <c r="G3" s="2086"/>
      <c r="H3" s="2086"/>
      <c r="I3" s="1440"/>
      <c r="J3" s="1440"/>
      <c r="K3" s="1440"/>
      <c r="L3" s="1440"/>
      <c r="M3" s="1440"/>
    </row>
    <row r="4" spans="1:22" ht="15.5">
      <c r="A4" s="2087" t="s">
        <v>881</v>
      </c>
      <c r="B4" s="2087"/>
      <c r="C4" s="2087"/>
      <c r="D4" s="2087"/>
      <c r="E4" s="2087"/>
      <c r="F4" s="2087"/>
      <c r="G4" s="2087"/>
      <c r="H4" s="2087"/>
      <c r="I4" s="1440"/>
      <c r="J4" s="1440"/>
      <c r="K4" s="1440"/>
      <c r="L4" s="1440"/>
      <c r="M4" s="1440"/>
    </row>
    <row r="5" spans="1:22" ht="15.5">
      <c r="A5" s="1997" t="str">
        <f>+'SWT TCOS'!F8</f>
        <v>AEP SOUTHWESTERN TRANSMISSION COMPANY</v>
      </c>
      <c r="B5" s="1997"/>
      <c r="C5" s="1997"/>
      <c r="D5" s="1997"/>
      <c r="E5" s="1997"/>
      <c r="F5" s="1997"/>
      <c r="G5" s="1997"/>
      <c r="H5" s="1997"/>
      <c r="I5" s="483"/>
      <c r="J5" s="483"/>
      <c r="K5" s="483"/>
      <c r="L5" s="483"/>
      <c r="M5" s="483"/>
    </row>
    <row r="6" spans="1:22">
      <c r="A6" s="1231"/>
      <c r="B6" s="1232"/>
      <c r="C6" s="1232"/>
      <c r="D6" s="1232"/>
      <c r="E6" s="1233"/>
      <c r="F6" s="1234"/>
      <c r="H6" s="30"/>
      <c r="I6" s="30"/>
      <c r="J6" s="30"/>
      <c r="K6" s="30"/>
      <c r="L6" s="30"/>
    </row>
    <row r="7" spans="1:22" ht="12.75" customHeight="1">
      <c r="A7" s="1235"/>
      <c r="B7" s="1236"/>
      <c r="C7" s="2057" t="s">
        <v>174</v>
      </c>
      <c r="D7" s="2058"/>
      <c r="E7" s="2058"/>
      <c r="F7" s="2058"/>
      <c r="G7" s="2059"/>
      <c r="H7" s="31"/>
      <c r="I7" s="30"/>
      <c r="J7" s="30"/>
      <c r="K7" s="30"/>
      <c r="L7" s="30"/>
    </row>
    <row r="8" spans="1:22" s="1242" customFormat="1" ht="50.25" customHeight="1">
      <c r="A8" s="1237" t="s">
        <v>706</v>
      </c>
      <c r="B8" s="1238" t="s">
        <v>689</v>
      </c>
      <c r="C8" s="1239" t="s">
        <v>850</v>
      </c>
      <c r="D8" s="1240" t="s">
        <v>851</v>
      </c>
      <c r="E8" s="1240" t="s">
        <v>852</v>
      </c>
      <c r="F8" s="1240" t="s">
        <v>853</v>
      </c>
      <c r="G8" s="1241" t="s">
        <v>174</v>
      </c>
      <c r="H8" s="31"/>
      <c r="I8" s="30"/>
      <c r="J8" s="30"/>
      <c r="K8" s="30"/>
      <c r="L8" s="30"/>
    </row>
    <row r="9" spans="1:22" s="1248" customFormat="1">
      <c r="A9" s="1243"/>
      <c r="B9" s="1244" t="s">
        <v>715</v>
      </c>
      <c r="C9" s="1245" t="s">
        <v>716</v>
      </c>
      <c r="D9" s="1246" t="s">
        <v>717</v>
      </c>
      <c r="E9" s="1246" t="s">
        <v>718</v>
      </c>
      <c r="F9" s="1246" t="s">
        <v>719</v>
      </c>
      <c r="G9" s="1247" t="s">
        <v>854</v>
      </c>
      <c r="H9" s="31"/>
      <c r="I9" s="30"/>
      <c r="J9" s="30"/>
      <c r="K9" s="30"/>
      <c r="L9" s="30"/>
    </row>
    <row r="10" spans="1:22" s="1248" customFormat="1" ht="44.25" customHeight="1">
      <c r="A10" s="1243"/>
      <c r="B10" s="1244" t="s">
        <v>855</v>
      </c>
      <c r="C10" s="1249" t="s">
        <v>856</v>
      </c>
      <c r="D10" s="1250" t="s">
        <v>857</v>
      </c>
      <c r="E10" s="1250" t="s">
        <v>858</v>
      </c>
      <c r="F10" s="1250" t="s">
        <v>859</v>
      </c>
      <c r="G10" s="1251"/>
      <c r="H10" s="31"/>
      <c r="I10" s="30"/>
      <c r="J10" s="30"/>
      <c r="K10" s="30"/>
      <c r="L10" s="30"/>
    </row>
    <row r="11" spans="1:22">
      <c r="A11" s="1243">
        <v>1</v>
      </c>
      <c r="B11" s="1252" t="s">
        <v>725</v>
      </c>
      <c r="C11" s="575">
        <v>-1269931.9340000004</v>
      </c>
      <c r="D11" s="575">
        <v>0</v>
      </c>
      <c r="E11" s="575">
        <v>0</v>
      </c>
      <c r="F11" s="575">
        <v>0</v>
      </c>
      <c r="G11" s="1253">
        <f t="shared" ref="G11:G23" si="0">+C11-D11-E11-F11</f>
        <v>-1269931.9340000004</v>
      </c>
      <c r="H11" s="31"/>
      <c r="I11" s="132"/>
      <c r="J11" s="132"/>
      <c r="K11" s="132"/>
      <c r="L11" s="132"/>
      <c r="M11" s="132"/>
      <c r="N11" s="132"/>
      <c r="O11" s="132"/>
      <c r="P11" s="132"/>
      <c r="Q11" s="132"/>
      <c r="R11" s="132"/>
      <c r="S11" s="132"/>
      <c r="T11" s="132"/>
      <c r="U11" s="132"/>
      <c r="V11" s="132"/>
    </row>
    <row r="12" spans="1:22">
      <c r="A12" s="1243">
        <f t="shared" ref="A12:A24" si="1">+A11+1</f>
        <v>2</v>
      </c>
      <c r="B12" s="1252" t="s">
        <v>321</v>
      </c>
      <c r="C12" s="575">
        <v>-1281192.0539999998</v>
      </c>
      <c r="D12" s="575"/>
      <c r="E12" s="575"/>
      <c r="F12" s="575"/>
      <c r="G12" s="1253">
        <f t="shared" si="0"/>
        <v>-1281192.0539999998</v>
      </c>
      <c r="H12" s="31"/>
      <c r="I12" s="30"/>
      <c r="J12" s="30"/>
      <c r="K12" s="30"/>
      <c r="L12" s="30"/>
    </row>
    <row r="13" spans="1:22">
      <c r="A13" s="1243">
        <f t="shared" si="1"/>
        <v>3</v>
      </c>
      <c r="B13" s="1254" t="s">
        <v>514</v>
      </c>
      <c r="C13" s="575">
        <v>-1300631.4639999999</v>
      </c>
      <c r="D13" s="575"/>
      <c r="E13" s="575"/>
      <c r="F13" s="575"/>
      <c r="G13" s="1253">
        <f t="shared" si="0"/>
        <v>-1300631.4639999999</v>
      </c>
      <c r="H13" s="31"/>
      <c r="I13" s="30"/>
      <c r="J13" s="30"/>
      <c r="K13" s="30"/>
      <c r="L13" s="30"/>
    </row>
    <row r="14" spans="1:22">
      <c r="A14" s="1243">
        <f t="shared" si="1"/>
        <v>4</v>
      </c>
      <c r="B14" s="1254" t="s">
        <v>726</v>
      </c>
      <c r="C14" s="575">
        <v>-1304158.1419999993</v>
      </c>
      <c r="D14" s="575"/>
      <c r="E14" s="575"/>
      <c r="F14" s="575"/>
      <c r="G14" s="1253">
        <f t="shared" si="0"/>
        <v>-1304158.1419999993</v>
      </c>
      <c r="H14" s="31"/>
      <c r="I14" s="30"/>
      <c r="J14" s="30"/>
      <c r="K14" s="30"/>
      <c r="L14" s="30"/>
    </row>
    <row r="15" spans="1:22">
      <c r="A15" s="1243">
        <f t="shared" si="1"/>
        <v>5</v>
      </c>
      <c r="B15" s="1254" t="s">
        <v>323</v>
      </c>
      <c r="C15" s="575">
        <v>-1314799.7620000003</v>
      </c>
      <c r="D15" s="575"/>
      <c r="E15" s="575"/>
      <c r="F15" s="575"/>
      <c r="G15" s="1253">
        <f t="shared" si="0"/>
        <v>-1314799.7620000003</v>
      </c>
      <c r="H15" s="31"/>
      <c r="I15" s="30"/>
      <c r="J15" s="30"/>
      <c r="K15" s="30"/>
      <c r="L15" s="30"/>
    </row>
    <row r="16" spans="1:22">
      <c r="A16" s="1243">
        <f t="shared" si="1"/>
        <v>6</v>
      </c>
      <c r="B16" s="1254" t="s">
        <v>324</v>
      </c>
      <c r="C16" s="575">
        <v>-1325524.9820000005</v>
      </c>
      <c r="D16" s="575"/>
      <c r="E16" s="575"/>
      <c r="F16" s="575"/>
      <c r="G16" s="1253">
        <f t="shared" si="0"/>
        <v>-1325524.9820000005</v>
      </c>
      <c r="H16" s="31"/>
      <c r="I16" s="30"/>
      <c r="J16" s="30"/>
      <c r="K16" s="30"/>
      <c r="L16" s="30"/>
    </row>
    <row r="17" spans="1:23">
      <c r="A17" s="1243">
        <f t="shared" si="1"/>
        <v>7</v>
      </c>
      <c r="B17" s="1254" t="s">
        <v>48</v>
      </c>
      <c r="C17" s="575">
        <v>-1319116.3519999993</v>
      </c>
      <c r="D17" s="575"/>
      <c r="E17" s="575"/>
      <c r="F17" s="575"/>
      <c r="G17" s="1253">
        <f t="shared" si="0"/>
        <v>-1319116.3519999993</v>
      </c>
      <c r="H17" s="31"/>
      <c r="I17" s="30"/>
      <c r="J17" s="30"/>
      <c r="K17" s="30"/>
      <c r="L17" s="30"/>
    </row>
    <row r="18" spans="1:23">
      <c r="A18" s="1243">
        <f t="shared" si="1"/>
        <v>8</v>
      </c>
      <c r="B18" s="1254" t="s">
        <v>325</v>
      </c>
      <c r="C18" s="575">
        <v>-1321587.2699999972</v>
      </c>
      <c r="D18" s="575"/>
      <c r="E18" s="575"/>
      <c r="F18" s="575"/>
      <c r="G18" s="1253">
        <f t="shared" si="0"/>
        <v>-1321587.2699999972</v>
      </c>
      <c r="H18" s="31"/>
      <c r="I18" s="30"/>
      <c r="J18" s="30"/>
      <c r="K18" s="30"/>
      <c r="L18" s="30"/>
    </row>
    <row r="19" spans="1:23">
      <c r="A19" s="1243">
        <f t="shared" si="1"/>
        <v>9</v>
      </c>
      <c r="B19" s="1254" t="s">
        <v>727</v>
      </c>
      <c r="C19" s="575">
        <v>-1327843.7869999981</v>
      </c>
      <c r="D19" s="575"/>
      <c r="E19" s="575"/>
      <c r="F19" s="575"/>
      <c r="G19" s="1253">
        <f t="shared" si="0"/>
        <v>-1327843.7869999981</v>
      </c>
      <c r="H19" s="31"/>
      <c r="I19" s="30"/>
      <c r="J19" s="30"/>
      <c r="K19" s="30"/>
      <c r="L19" s="30"/>
    </row>
    <row r="20" spans="1:23">
      <c r="A20" s="1243">
        <f t="shared" si="1"/>
        <v>10</v>
      </c>
      <c r="B20" s="1254" t="s">
        <v>328</v>
      </c>
      <c r="C20" s="575">
        <v>-1342277.7920000022</v>
      </c>
      <c r="D20" s="575"/>
      <c r="E20" s="575"/>
      <c r="F20" s="575"/>
      <c r="G20" s="1253">
        <f t="shared" si="0"/>
        <v>-1342277.7920000022</v>
      </c>
      <c r="H20" s="31"/>
      <c r="I20" s="30"/>
      <c r="J20" s="30"/>
      <c r="K20" s="30"/>
      <c r="L20" s="30"/>
    </row>
    <row r="21" spans="1:23">
      <c r="A21" s="1243">
        <f t="shared" si="1"/>
        <v>11</v>
      </c>
      <c r="B21" s="1254" t="s">
        <v>515</v>
      </c>
      <c r="C21" s="575">
        <v>-1364908.2920000008</v>
      </c>
      <c r="D21" s="575"/>
      <c r="E21" s="575"/>
      <c r="F21" s="575"/>
      <c r="G21" s="1253">
        <f t="shared" si="0"/>
        <v>-1364908.2920000008</v>
      </c>
      <c r="H21" s="31"/>
      <c r="I21" s="30"/>
      <c r="J21" s="30"/>
      <c r="K21" s="30"/>
      <c r="L21" s="30"/>
    </row>
    <row r="22" spans="1:23">
      <c r="A22" s="1243">
        <f t="shared" si="1"/>
        <v>12</v>
      </c>
      <c r="B22" s="1254" t="s">
        <v>516</v>
      </c>
      <c r="C22" s="575">
        <v>-1375347.9419999972</v>
      </c>
      <c r="D22" s="575"/>
      <c r="E22" s="575"/>
      <c r="F22" s="575"/>
      <c r="G22" s="1253">
        <f t="shared" si="0"/>
        <v>-1375347.9419999972</v>
      </c>
      <c r="H22" s="31"/>
      <c r="I22" s="30"/>
      <c r="J22" s="30"/>
      <c r="K22" s="30"/>
      <c r="L22" s="30"/>
    </row>
    <row r="23" spans="1:23">
      <c r="A23" s="1255">
        <f t="shared" si="1"/>
        <v>13</v>
      </c>
      <c r="B23" s="1256" t="s">
        <v>728</v>
      </c>
      <c r="C23" s="575">
        <v>-1389115.6319999993</v>
      </c>
      <c r="D23" s="575">
        <v>0</v>
      </c>
      <c r="E23" s="575">
        <v>0</v>
      </c>
      <c r="F23" s="575">
        <v>0</v>
      </c>
      <c r="G23" s="1253">
        <f t="shared" si="0"/>
        <v>-1389115.6319999993</v>
      </c>
      <c r="H23" s="31"/>
      <c r="I23" s="30"/>
      <c r="J23" s="30"/>
      <c r="K23" s="30"/>
      <c r="L23" s="30"/>
    </row>
    <row r="24" spans="1:23" ht="13.5" thickBot="1">
      <c r="A24" s="1863">
        <f t="shared" si="1"/>
        <v>14</v>
      </c>
      <c r="B24" s="1945" t="s">
        <v>1073</v>
      </c>
      <c r="C24" s="1946">
        <f>SUM(C11:C23)/13</f>
        <v>-1325879.6465384611</v>
      </c>
      <c r="D24" s="1947">
        <f>SUM(D11:D23)/13</f>
        <v>0</v>
      </c>
      <c r="E24" s="1947">
        <f>SUM(E11:E23)/13</f>
        <v>0</v>
      </c>
      <c r="F24" s="1947">
        <f>SUM(F11:F23)/13</f>
        <v>0</v>
      </c>
      <c r="G24" s="1258">
        <f>AVERAGE(G11:G23)</f>
        <v>-1325879.6465384611</v>
      </c>
      <c r="H24" s="31"/>
      <c r="I24" s="30"/>
      <c r="J24" s="30"/>
      <c r="K24" s="30"/>
      <c r="L24" s="30"/>
    </row>
    <row r="25" spans="1:23" ht="13.5" thickTop="1">
      <c r="A25" s="1235"/>
      <c r="B25" s="1259"/>
      <c r="C25" s="1260"/>
      <c r="D25" s="478"/>
      <c r="E25" s="478"/>
      <c r="F25" s="478"/>
      <c r="G25" s="1260"/>
      <c r="H25" s="1260"/>
      <c r="I25" s="30"/>
      <c r="J25" s="30"/>
      <c r="K25" s="30"/>
      <c r="L25" s="30"/>
    </row>
    <row r="26" spans="1:23" ht="12.75" customHeight="1">
      <c r="A26" s="1235"/>
      <c r="B26" s="1236"/>
      <c r="C26" s="2060" t="s">
        <v>860</v>
      </c>
      <c r="D26" s="2061"/>
      <c r="E26" s="2061"/>
      <c r="F26" s="2061"/>
      <c r="G26" s="2061"/>
      <c r="H26" s="2062"/>
      <c r="I26" s="30"/>
      <c r="J26" s="30"/>
      <c r="K26" s="30"/>
      <c r="L26" s="30"/>
    </row>
    <row r="27" spans="1:23" s="1242" customFormat="1" ht="39">
      <c r="A27" s="1237" t="s">
        <v>706</v>
      </c>
      <c r="B27" s="1238" t="s">
        <v>689</v>
      </c>
      <c r="C27" s="1239" t="s">
        <v>861</v>
      </c>
      <c r="D27" s="1240" t="s">
        <v>862</v>
      </c>
      <c r="E27" s="1240" t="s">
        <v>863</v>
      </c>
      <c r="F27" s="1240" t="s">
        <v>864</v>
      </c>
      <c r="G27" s="1240" t="s">
        <v>865</v>
      </c>
      <c r="H27" s="1241" t="s">
        <v>866</v>
      </c>
      <c r="I27" s="30"/>
      <c r="J27" s="30"/>
      <c r="K27" s="30"/>
      <c r="L27" s="30"/>
    </row>
    <row r="28" spans="1:23" s="1248" customFormat="1">
      <c r="A28" s="1243"/>
      <c r="B28" s="1244" t="s">
        <v>715</v>
      </c>
      <c r="C28" s="1245" t="s">
        <v>716</v>
      </c>
      <c r="D28" s="1246" t="s">
        <v>717</v>
      </c>
      <c r="E28" s="1246" t="s">
        <v>718</v>
      </c>
      <c r="F28" s="1246" t="s">
        <v>719</v>
      </c>
      <c r="G28" s="1246" t="s">
        <v>720</v>
      </c>
      <c r="H28" s="1247" t="s">
        <v>867</v>
      </c>
      <c r="I28" s="30"/>
      <c r="J28" s="30"/>
      <c r="K28" s="30"/>
      <c r="L28" s="30"/>
    </row>
    <row r="29" spans="1:23" s="1248" customFormat="1" ht="44.25" customHeight="1">
      <c r="A29" s="1243"/>
      <c r="B29" s="1244" t="s">
        <v>855</v>
      </c>
      <c r="C29" s="1249" t="s">
        <v>868</v>
      </c>
      <c r="D29" s="1250" t="s">
        <v>869</v>
      </c>
      <c r="E29" s="1250" t="s">
        <v>870</v>
      </c>
      <c r="F29" s="1250" t="s">
        <v>871</v>
      </c>
      <c r="G29" s="1250" t="s">
        <v>872</v>
      </c>
      <c r="H29" s="1261"/>
      <c r="I29" s="30"/>
      <c r="J29" s="30"/>
      <c r="K29" s="30"/>
      <c r="L29" s="30"/>
    </row>
    <row r="30" spans="1:23">
      <c r="A30" s="1243">
        <f>+A24+1</f>
        <v>15</v>
      </c>
      <c r="B30" s="1252" t="s">
        <v>725</v>
      </c>
      <c r="C30" s="575">
        <v>0</v>
      </c>
      <c r="D30" s="575">
        <v>0</v>
      </c>
      <c r="E30" s="575">
        <v>0</v>
      </c>
      <c r="F30" s="575">
        <v>0</v>
      </c>
      <c r="G30" s="575">
        <v>0</v>
      </c>
      <c r="H30" s="1253">
        <f t="shared" ref="H30:H42" si="2">+C30-D30+E30+F30-G30</f>
        <v>0</v>
      </c>
      <c r="I30" s="30"/>
      <c r="J30" s="132"/>
      <c r="K30" s="132"/>
      <c r="L30" s="132"/>
      <c r="M30" s="132"/>
      <c r="N30" s="132"/>
      <c r="O30" s="132"/>
      <c r="P30" s="132"/>
      <c r="Q30" s="132"/>
      <c r="R30" s="132"/>
      <c r="S30" s="132"/>
      <c r="T30" s="132"/>
      <c r="U30" s="132"/>
      <c r="V30" s="132"/>
      <c r="W30" s="132"/>
    </row>
    <row r="31" spans="1:23">
      <c r="A31" s="1243">
        <f t="shared" ref="A31:A43" si="3">+A30+1</f>
        <v>16</v>
      </c>
      <c r="B31" s="1252" t="s">
        <v>321</v>
      </c>
      <c r="C31" s="575"/>
      <c r="D31" s="575"/>
      <c r="E31" s="575"/>
      <c r="F31" s="575"/>
      <c r="G31" s="575"/>
      <c r="H31" s="1253">
        <f t="shared" si="2"/>
        <v>0</v>
      </c>
      <c r="I31" s="30"/>
      <c r="J31" s="30"/>
      <c r="K31" s="30"/>
      <c r="L31" s="30"/>
    </row>
    <row r="32" spans="1:23">
      <c r="A32" s="1243">
        <f t="shared" si="3"/>
        <v>17</v>
      </c>
      <c r="B32" s="1254" t="s">
        <v>514</v>
      </c>
      <c r="C32" s="575"/>
      <c r="D32" s="575"/>
      <c r="E32" s="575"/>
      <c r="F32" s="575"/>
      <c r="G32" s="575"/>
      <c r="H32" s="1253">
        <f t="shared" si="2"/>
        <v>0</v>
      </c>
      <c r="I32" s="30"/>
      <c r="J32" s="30"/>
      <c r="K32" s="30"/>
      <c r="L32" s="30"/>
    </row>
    <row r="33" spans="1:12">
      <c r="A33" s="1243">
        <f t="shared" si="3"/>
        <v>18</v>
      </c>
      <c r="B33" s="1254" t="s">
        <v>726</v>
      </c>
      <c r="C33" s="575"/>
      <c r="D33" s="575"/>
      <c r="E33" s="575"/>
      <c r="F33" s="575"/>
      <c r="G33" s="575"/>
      <c r="H33" s="1253">
        <f t="shared" si="2"/>
        <v>0</v>
      </c>
      <c r="I33" s="30"/>
      <c r="J33" s="30"/>
      <c r="K33" s="30"/>
      <c r="L33" s="30"/>
    </row>
    <row r="34" spans="1:12">
      <c r="A34" s="1243">
        <f t="shared" si="3"/>
        <v>19</v>
      </c>
      <c r="B34" s="1254" t="s">
        <v>323</v>
      </c>
      <c r="C34" s="575"/>
      <c r="D34" s="575"/>
      <c r="E34" s="575"/>
      <c r="F34" s="575"/>
      <c r="G34" s="575"/>
      <c r="H34" s="1253">
        <f t="shared" si="2"/>
        <v>0</v>
      </c>
      <c r="I34" s="30"/>
      <c r="J34" s="30"/>
      <c r="K34" s="30"/>
      <c r="L34" s="30"/>
    </row>
    <row r="35" spans="1:12">
      <c r="A35" s="1243">
        <f t="shared" si="3"/>
        <v>20</v>
      </c>
      <c r="B35" s="1254" t="s">
        <v>324</v>
      </c>
      <c r="C35" s="575"/>
      <c r="D35" s="575"/>
      <c r="E35" s="575"/>
      <c r="F35" s="575"/>
      <c r="G35" s="575"/>
      <c r="H35" s="1253">
        <f t="shared" si="2"/>
        <v>0</v>
      </c>
      <c r="I35" s="30"/>
      <c r="J35" s="30"/>
      <c r="K35" s="30"/>
      <c r="L35" s="30"/>
    </row>
    <row r="36" spans="1:12">
      <c r="A36" s="1243">
        <f t="shared" si="3"/>
        <v>21</v>
      </c>
      <c r="B36" s="1254" t="s">
        <v>48</v>
      </c>
      <c r="C36" s="575"/>
      <c r="D36" s="575"/>
      <c r="E36" s="575"/>
      <c r="F36" s="575"/>
      <c r="G36" s="575"/>
      <c r="H36" s="1253">
        <f t="shared" si="2"/>
        <v>0</v>
      </c>
      <c r="I36" s="30"/>
      <c r="J36" s="30"/>
      <c r="K36" s="30"/>
      <c r="L36" s="30"/>
    </row>
    <row r="37" spans="1:12">
      <c r="A37" s="1243">
        <f t="shared" si="3"/>
        <v>22</v>
      </c>
      <c r="B37" s="1254" t="s">
        <v>325</v>
      </c>
      <c r="C37" s="575"/>
      <c r="D37" s="575"/>
      <c r="E37" s="575"/>
      <c r="F37" s="575"/>
      <c r="G37" s="575"/>
      <c r="H37" s="1253">
        <f t="shared" si="2"/>
        <v>0</v>
      </c>
      <c r="I37" s="30"/>
      <c r="J37" s="30"/>
      <c r="K37" s="30"/>
      <c r="L37" s="30"/>
    </row>
    <row r="38" spans="1:12">
      <c r="A38" s="1243">
        <f t="shared" si="3"/>
        <v>23</v>
      </c>
      <c r="B38" s="1254" t="s">
        <v>727</v>
      </c>
      <c r="C38" s="575"/>
      <c r="D38" s="575"/>
      <c r="E38" s="575"/>
      <c r="F38" s="575"/>
      <c r="G38" s="575"/>
      <c r="H38" s="1253">
        <f t="shared" si="2"/>
        <v>0</v>
      </c>
      <c r="I38" s="30"/>
      <c r="J38" s="30"/>
      <c r="K38" s="30"/>
      <c r="L38" s="30"/>
    </row>
    <row r="39" spans="1:12">
      <c r="A39" s="1243">
        <f t="shared" si="3"/>
        <v>24</v>
      </c>
      <c r="B39" s="1254" t="s">
        <v>328</v>
      </c>
      <c r="C39" s="575"/>
      <c r="D39" s="575"/>
      <c r="E39" s="575"/>
      <c r="F39" s="575"/>
      <c r="G39" s="575"/>
      <c r="H39" s="1253">
        <f t="shared" si="2"/>
        <v>0</v>
      </c>
      <c r="I39" s="30"/>
      <c r="J39" s="30"/>
      <c r="K39" s="30"/>
      <c r="L39" s="30"/>
    </row>
    <row r="40" spans="1:12">
      <c r="A40" s="1243">
        <f t="shared" si="3"/>
        <v>25</v>
      </c>
      <c r="B40" s="1254" t="s">
        <v>515</v>
      </c>
      <c r="C40" s="575"/>
      <c r="D40" s="575"/>
      <c r="E40" s="575"/>
      <c r="F40" s="575"/>
      <c r="G40" s="575"/>
      <c r="H40" s="1253">
        <f t="shared" si="2"/>
        <v>0</v>
      </c>
      <c r="I40" s="30"/>
      <c r="J40" s="30"/>
      <c r="K40" s="30"/>
      <c r="L40" s="30"/>
    </row>
    <row r="41" spans="1:12">
      <c r="A41" s="1243">
        <f t="shared" si="3"/>
        <v>26</v>
      </c>
      <c r="B41" s="1254" t="s">
        <v>516</v>
      </c>
      <c r="C41" s="575"/>
      <c r="D41" s="575"/>
      <c r="E41" s="575"/>
      <c r="F41" s="575"/>
      <c r="G41" s="575"/>
      <c r="H41" s="1253">
        <f t="shared" si="2"/>
        <v>0</v>
      </c>
      <c r="I41" s="30"/>
      <c r="J41" s="30"/>
      <c r="K41" s="30"/>
      <c r="L41" s="30"/>
    </row>
    <row r="42" spans="1:12">
      <c r="A42" s="1255">
        <f t="shared" si="3"/>
        <v>27</v>
      </c>
      <c r="B42" s="1256" t="s">
        <v>728</v>
      </c>
      <c r="C42" s="575">
        <v>0</v>
      </c>
      <c r="D42" s="575">
        <v>0</v>
      </c>
      <c r="E42" s="575">
        <v>0</v>
      </c>
      <c r="F42" s="575">
        <v>0</v>
      </c>
      <c r="G42" s="575"/>
      <c r="H42" s="1253">
        <f t="shared" si="2"/>
        <v>0</v>
      </c>
      <c r="I42" s="30"/>
      <c r="J42" s="30"/>
      <c r="K42" s="30"/>
      <c r="L42" s="30"/>
    </row>
    <row r="43" spans="1:12" ht="13.5" thickBot="1">
      <c r="A43" s="1863">
        <f t="shared" si="3"/>
        <v>28</v>
      </c>
      <c r="B43" s="1945" t="s">
        <v>1073</v>
      </c>
      <c r="C43" s="1946">
        <f t="shared" ref="C43:G43" si="4">SUM(C30:C42)/13</f>
        <v>0</v>
      </c>
      <c r="D43" s="1947">
        <f t="shared" si="4"/>
        <v>0</v>
      </c>
      <c r="E43" s="1947">
        <f t="shared" si="4"/>
        <v>0</v>
      </c>
      <c r="F43" s="1947">
        <f t="shared" si="4"/>
        <v>0</v>
      </c>
      <c r="G43" s="1947">
        <f t="shared" si="4"/>
        <v>0</v>
      </c>
      <c r="H43" s="1258">
        <f t="shared" ref="H43" si="5">AVERAGE(H30:H42)</f>
        <v>0</v>
      </c>
      <c r="I43" s="30"/>
      <c r="J43" s="30"/>
      <c r="K43" s="30"/>
      <c r="L43" s="30"/>
    </row>
    <row r="44" spans="1:12" ht="13.5" thickTop="1">
      <c r="A44" s="1231"/>
      <c r="B44" s="1262"/>
      <c r="C44" s="1263"/>
      <c r="D44" s="1264"/>
      <c r="E44" s="1264"/>
      <c r="F44" s="1264"/>
      <c r="G44" s="1263"/>
      <c r="H44" s="1263"/>
      <c r="I44" s="30"/>
      <c r="J44" s="30"/>
      <c r="K44" s="30"/>
      <c r="L44" s="30"/>
    </row>
    <row r="45" spans="1:12" ht="12.75" customHeight="1">
      <c r="A45" s="4" t="s">
        <v>873</v>
      </c>
      <c r="F45" s="5"/>
      <c r="G45" s="5"/>
      <c r="H45" s="5"/>
      <c r="I45" s="30"/>
      <c r="J45" s="30"/>
      <c r="K45" s="30"/>
    </row>
    <row r="46" spans="1:12">
      <c r="E46" s="5"/>
      <c r="F46" s="5"/>
      <c r="G46" s="5"/>
      <c r="H46" s="5"/>
      <c r="J46" s="1262"/>
    </row>
    <row r="47" spans="1:12" ht="15.5">
      <c r="A47" s="6" t="s">
        <v>169</v>
      </c>
      <c r="E47" s="5"/>
      <c r="F47" s="5"/>
      <c r="G47" s="5"/>
      <c r="H47" s="1235"/>
    </row>
    <row r="48" spans="1:12" ht="25.5">
      <c r="A48" s="1237" t="s">
        <v>706</v>
      </c>
      <c r="B48" s="1266" t="s">
        <v>715</v>
      </c>
      <c r="C48" s="1266" t="s">
        <v>716</v>
      </c>
      <c r="D48" s="1267" t="s">
        <v>717</v>
      </c>
      <c r="E48" s="1266" t="s">
        <v>718</v>
      </c>
      <c r="F48" s="1267" t="s">
        <v>719</v>
      </c>
      <c r="G48" s="1266" t="s">
        <v>720</v>
      </c>
      <c r="H48" s="1266" t="s">
        <v>721</v>
      </c>
    </row>
    <row r="49" spans="1:12" ht="15.5">
      <c r="A49" s="6"/>
      <c r="B49" s="1266"/>
      <c r="C49" s="1266"/>
      <c r="D49" s="1267"/>
      <c r="E49" s="1266"/>
      <c r="F49" s="1267"/>
      <c r="G49" s="1266"/>
      <c r="H49" s="1266"/>
    </row>
    <row r="50" spans="1:12">
      <c r="A50" s="7">
        <f>+A43+1</f>
        <v>29</v>
      </c>
      <c r="B50" s="8" t="str">
        <f>"Annual Interest Expense for "&amp;'SWT TCOS'!N2</f>
        <v>Annual Interest Expense for 2019</v>
      </c>
      <c r="C50" s="9"/>
      <c r="D50" s="10"/>
      <c r="E50" s="14"/>
      <c r="F50" s="14"/>
      <c r="G50" s="14"/>
      <c r="H50" s="14"/>
      <c r="I50" s="14"/>
      <c r="J50" s="14"/>
      <c r="K50" s="14"/>
      <c r="L50" s="14"/>
    </row>
    <row r="51" spans="1:12">
      <c r="A51" s="7">
        <f t="shared" ref="A51:A58" si="6">+A50+1</f>
        <v>30</v>
      </c>
      <c r="B51" s="11" t="s">
        <v>605</v>
      </c>
      <c r="C51" s="9"/>
      <c r="D51" s="10"/>
      <c r="E51" s="575">
        <v>0</v>
      </c>
      <c r="F51" s="14"/>
      <c r="G51" s="14"/>
      <c r="H51" s="14"/>
      <c r="I51" s="14"/>
      <c r="J51" s="14"/>
      <c r="K51" s="14"/>
      <c r="L51" s="14"/>
    </row>
    <row r="52" spans="1:12" ht="28.5" customHeight="1">
      <c r="A52" s="7">
        <f t="shared" si="6"/>
        <v>31</v>
      </c>
      <c r="B52" s="2053" t="str">
        <f>"Less: Total Hedge Gain/Expense Accumulated from p 256-257, col. (i) of FERC Form 1  included in Ln "&amp;A51&amp;" and shown in "&amp;A76&amp;" below."</f>
        <v>Less: Total Hedge Gain/Expense Accumulated from p 256-257, col. (i) of FERC Form 1  included in Ln 30 and shown in 50 below.</v>
      </c>
      <c r="C52" s="2054"/>
      <c r="D52" s="10"/>
      <c r="E52" s="9">
        <f>+C76</f>
        <v>0</v>
      </c>
      <c r="F52" s="14"/>
      <c r="G52" s="14"/>
      <c r="H52" s="14"/>
      <c r="I52" s="14"/>
      <c r="J52" s="14"/>
      <c r="K52" s="14"/>
      <c r="L52" s="14"/>
    </row>
    <row r="53" spans="1:12" ht="16.5" customHeight="1">
      <c r="A53" s="7">
        <f t="shared" si="6"/>
        <v>32</v>
      </c>
      <c r="B53" s="12" t="str">
        <f>"Plus:  Allowed Hedge Recovery From Ln "&amp;A82&amp;"  below."</f>
        <v>Plus:  Allowed Hedge Recovery From Ln 55  below.</v>
      </c>
      <c r="C53" s="49"/>
      <c r="D53" s="10"/>
      <c r="E53" s="1268">
        <f>+E82</f>
        <v>-662.9398232692306</v>
      </c>
      <c r="F53" s="14"/>
      <c r="G53" s="14"/>
      <c r="H53" s="14"/>
      <c r="I53" s="14"/>
      <c r="J53" s="14"/>
      <c r="K53" s="14"/>
      <c r="L53" s="14"/>
    </row>
    <row r="54" spans="1:12">
      <c r="A54" s="7">
        <f t="shared" si="6"/>
        <v>33</v>
      </c>
      <c r="B54" s="11" t="s">
        <v>647</v>
      </c>
      <c r="C54" s="13"/>
      <c r="D54" s="14"/>
      <c r="E54" s="575">
        <v>0</v>
      </c>
      <c r="F54" s="14"/>
      <c r="G54" s="14"/>
      <c r="H54" s="14"/>
      <c r="I54" s="14"/>
      <c r="J54" s="14"/>
    </row>
    <row r="55" spans="1:12">
      <c r="A55" s="7">
        <f t="shared" si="6"/>
        <v>34</v>
      </c>
      <c r="B55" s="11" t="s">
        <v>648</v>
      </c>
      <c r="C55" s="15"/>
      <c r="D55" s="10"/>
      <c r="E55" s="575">
        <v>0</v>
      </c>
      <c r="F55" s="14"/>
      <c r="G55" s="14"/>
      <c r="H55" s="14"/>
      <c r="I55" s="14"/>
      <c r="J55" s="14"/>
    </row>
    <row r="56" spans="1:12">
      <c r="A56" s="7">
        <f t="shared" si="6"/>
        <v>35</v>
      </c>
      <c r="B56" s="11" t="s">
        <v>649</v>
      </c>
      <c r="C56" s="15"/>
      <c r="D56" s="10"/>
      <c r="E56" s="575">
        <v>0</v>
      </c>
      <c r="F56" s="14"/>
      <c r="G56" s="14"/>
      <c r="H56" s="14"/>
      <c r="I56" s="14"/>
      <c r="J56" s="14"/>
    </row>
    <row r="57" spans="1:12">
      <c r="A57" s="7">
        <f t="shared" si="6"/>
        <v>36</v>
      </c>
      <c r="B57" s="11" t="s">
        <v>650</v>
      </c>
      <c r="C57" s="15"/>
      <c r="D57" s="10"/>
      <c r="E57" s="575">
        <v>0</v>
      </c>
      <c r="F57" s="14"/>
      <c r="G57" s="14"/>
      <c r="H57" s="14"/>
      <c r="I57" s="14"/>
      <c r="J57" s="14"/>
    </row>
    <row r="58" spans="1:12">
      <c r="A58" s="7">
        <f t="shared" si="6"/>
        <v>37</v>
      </c>
      <c r="B58" s="8" t="str">
        <f>"Total Interest Expense (Ln "&amp;A51&amp;" - "&amp;A52&amp;" + "&amp;A54&amp;" + "&amp;A55&amp;" - "&amp;A56&amp;" - "&amp;A57&amp;")"</f>
        <v>Total Interest Expense (Ln 30 - 31 + 33 + 34 - 35 - 36)</v>
      </c>
      <c r="C58" s="16"/>
      <c r="D58" s="17"/>
      <c r="E58" s="44">
        <f>+E51-E52+E53+E54+E55-E56-E57</f>
        <v>-662.9398232692306</v>
      </c>
      <c r="F58" s="14"/>
      <c r="G58" s="14"/>
      <c r="H58" s="14"/>
      <c r="I58" s="14"/>
      <c r="J58" s="14"/>
    </row>
    <row r="59" spans="1:12" ht="13.5" thickBot="1">
      <c r="A59" s="7"/>
      <c r="B59" s="19"/>
      <c r="C59" s="15"/>
      <c r="D59" s="10"/>
      <c r="E59" s="18"/>
      <c r="F59" s="14"/>
      <c r="G59" s="14"/>
      <c r="H59" s="14"/>
      <c r="I59" s="14"/>
      <c r="J59" s="14"/>
    </row>
    <row r="60" spans="1:12" ht="13.5" thickBot="1">
      <c r="A60" s="7">
        <f>+A58+1</f>
        <v>38</v>
      </c>
      <c r="B60" s="8" t="str">
        <f>"Average Cost of Debt for "&amp;'SWT TCOS'!N2&amp;" (Ln "&amp;A58&amp;"/ ln "&amp;A43&amp;" (g))"</f>
        <v>Average Cost of Debt for 2019 (Ln 37/ ln 28 (g))</v>
      </c>
      <c r="C60" s="16"/>
      <c r="D60" s="10"/>
      <c r="E60" s="20">
        <f>IF(ISERROR(+E58/H43),0,E58/H43)</f>
        <v>0</v>
      </c>
      <c r="F60" s="14"/>
      <c r="G60" s="14"/>
      <c r="H60" s="14"/>
      <c r="I60" s="14"/>
      <c r="J60" s="14"/>
    </row>
    <row r="61" spans="1:12">
      <c r="A61" s="21"/>
      <c r="B61" s="19"/>
      <c r="C61" s="15"/>
      <c r="D61" s="10"/>
      <c r="E61" s="15"/>
      <c r="F61" s="14"/>
      <c r="G61" s="14"/>
      <c r="H61" s="14"/>
      <c r="I61" s="14"/>
      <c r="J61" s="14"/>
    </row>
    <row r="62" spans="1:12" s="25" customFormat="1" ht="28.5" customHeight="1">
      <c r="A62" s="22"/>
      <c r="B62" s="2055" t="s">
        <v>874</v>
      </c>
      <c r="C62" s="2055"/>
      <c r="D62" s="2055"/>
      <c r="E62" s="2055"/>
      <c r="F62" s="23"/>
      <c r="G62" s="24"/>
    </row>
    <row r="63" spans="1:12" s="25" customFormat="1" ht="65.25" customHeight="1">
      <c r="A63" s="46">
        <f>+A60+1</f>
        <v>39</v>
      </c>
      <c r="B63" s="2052" t="s">
        <v>875</v>
      </c>
      <c r="C63" s="2052"/>
      <c r="D63" s="2052"/>
      <c r="E63" s="2052"/>
      <c r="F63" s="2052"/>
      <c r="G63" s="2052"/>
      <c r="H63" s="2052"/>
    </row>
    <row r="64" spans="1:12" s="25" customFormat="1" ht="12" customHeight="1">
      <c r="A64" s="22"/>
      <c r="B64" s="26"/>
      <c r="C64" s="26"/>
      <c r="D64" s="26"/>
      <c r="E64" s="26"/>
      <c r="F64" s="24"/>
      <c r="G64" s="2056" t="s">
        <v>876</v>
      </c>
      <c r="H64" s="2056"/>
    </row>
    <row r="65" spans="1:10" s="25" customFormat="1" ht="52.5" customHeight="1">
      <c r="A65" s="7"/>
      <c r="B65" s="28" t="s">
        <v>877</v>
      </c>
      <c r="C65" s="50" t="str">
        <f>"Total Hedge (Gain)/Loss for "&amp;'SWT TCOS'!N2</f>
        <v>Total Hedge (Gain)/Loss for 2019</v>
      </c>
      <c r="D65" s="50" t="str">
        <f>"Less Excludable Amounts (See NOTE on Line "&amp;A63&amp;")"</f>
        <v>Less Excludable Amounts (See NOTE on Line 39)</v>
      </c>
      <c r="E65" s="50" t="s">
        <v>878</v>
      </c>
      <c r="F65" s="50" t="s">
        <v>879</v>
      </c>
      <c r="G65" s="50" t="s">
        <v>461</v>
      </c>
      <c r="H65" s="50" t="s">
        <v>463</v>
      </c>
    </row>
    <row r="66" spans="1:10" s="25" customFormat="1" ht="12.75" customHeight="1">
      <c r="A66" s="7">
        <f>+A63+1</f>
        <v>40</v>
      </c>
      <c r="B66" s="1269"/>
      <c r="C66" s="1270"/>
      <c r="D66" s="575"/>
      <c r="E66" s="29">
        <f t="shared" ref="E66:E74" si="7">+C66-D66</f>
        <v>0</v>
      </c>
      <c r="F66" s="575"/>
      <c r="G66" s="575"/>
      <c r="H66" s="575"/>
      <c r="I66" s="30"/>
      <c r="J66" s="30"/>
    </row>
    <row r="67" spans="1:10" s="25" customFormat="1" ht="12.75" customHeight="1">
      <c r="A67" s="7">
        <f t="shared" ref="A67:A76" si="8">+A66+1</f>
        <v>41</v>
      </c>
      <c r="B67" s="1269"/>
      <c r="C67" s="1270"/>
      <c r="D67" s="575"/>
      <c r="E67" s="29">
        <f t="shared" si="7"/>
        <v>0</v>
      </c>
      <c r="F67" s="575"/>
      <c r="G67" s="575"/>
      <c r="H67" s="575"/>
    </row>
    <row r="68" spans="1:10" s="25" customFormat="1" ht="12.75" customHeight="1">
      <c r="A68" s="7">
        <f t="shared" si="8"/>
        <v>42</v>
      </c>
      <c r="B68" s="575"/>
      <c r="C68" s="575"/>
      <c r="D68" s="575"/>
      <c r="E68" s="29">
        <f t="shared" si="7"/>
        <v>0</v>
      </c>
      <c r="F68" s="575"/>
      <c r="G68" s="575"/>
      <c r="H68" s="575"/>
    </row>
    <row r="69" spans="1:10" s="25" customFormat="1" ht="12.75" customHeight="1">
      <c r="A69" s="7">
        <f t="shared" si="8"/>
        <v>43</v>
      </c>
      <c r="B69" s="575"/>
      <c r="C69" s="575"/>
      <c r="D69" s="575"/>
      <c r="E69" s="29">
        <f t="shared" si="7"/>
        <v>0</v>
      </c>
      <c r="F69" s="575"/>
      <c r="G69" s="575"/>
      <c r="H69" s="575"/>
    </row>
    <row r="70" spans="1:10" s="25" customFormat="1" ht="12.75" customHeight="1">
      <c r="A70" s="7">
        <f t="shared" si="8"/>
        <v>44</v>
      </c>
      <c r="B70" s="575"/>
      <c r="C70" s="575"/>
      <c r="D70" s="575"/>
      <c r="E70" s="29">
        <f t="shared" si="7"/>
        <v>0</v>
      </c>
      <c r="F70" s="575"/>
      <c r="G70" s="575"/>
      <c r="H70" s="575"/>
    </row>
    <row r="71" spans="1:10" s="25" customFormat="1" ht="12.75" customHeight="1">
      <c r="A71" s="7">
        <f t="shared" si="8"/>
        <v>45</v>
      </c>
      <c r="B71" s="575"/>
      <c r="C71" s="575"/>
      <c r="D71" s="575"/>
      <c r="E71" s="29">
        <f t="shared" si="7"/>
        <v>0</v>
      </c>
      <c r="F71" s="575"/>
      <c r="G71" s="575"/>
      <c r="H71" s="575"/>
    </row>
    <row r="72" spans="1:10" s="25" customFormat="1" ht="12.75" customHeight="1">
      <c r="A72" s="7">
        <f t="shared" si="8"/>
        <v>46</v>
      </c>
      <c r="B72" s="575"/>
      <c r="C72" s="575"/>
      <c r="D72" s="575"/>
      <c r="E72" s="29">
        <f t="shared" si="7"/>
        <v>0</v>
      </c>
      <c r="F72" s="575"/>
      <c r="G72" s="575"/>
      <c r="H72" s="575"/>
    </row>
    <row r="73" spans="1:10" s="25" customFormat="1" ht="12.75" customHeight="1">
      <c r="A73" s="7">
        <f t="shared" si="8"/>
        <v>47</v>
      </c>
      <c r="B73" s="575"/>
      <c r="C73" s="575"/>
      <c r="D73" s="575"/>
      <c r="E73" s="29">
        <f t="shared" si="7"/>
        <v>0</v>
      </c>
      <c r="F73" s="575"/>
      <c r="G73" s="575"/>
      <c r="H73" s="575"/>
    </row>
    <row r="74" spans="1:10" s="25" customFormat="1" ht="12.75" customHeight="1">
      <c r="A74" s="7">
        <f t="shared" si="8"/>
        <v>48</v>
      </c>
      <c r="B74" s="575"/>
      <c r="C74" s="575"/>
      <c r="D74" s="575"/>
      <c r="E74" s="29">
        <f t="shared" si="7"/>
        <v>0</v>
      </c>
      <c r="F74" s="575"/>
      <c r="G74" s="575"/>
      <c r="H74" s="575"/>
    </row>
    <row r="75" spans="1:10" s="25" customFormat="1" ht="12.75" customHeight="1">
      <c r="A75" s="7">
        <f t="shared" si="8"/>
        <v>49</v>
      </c>
      <c r="B75" s="31"/>
      <c r="C75" s="32"/>
      <c r="D75" s="32"/>
      <c r="E75" s="33"/>
      <c r="F75" s="29">
        <f>SUM(F66:F74)</f>
        <v>0</v>
      </c>
      <c r="G75" s="24"/>
    </row>
    <row r="76" spans="1:10" s="25" customFormat="1" ht="12.75" customHeight="1">
      <c r="A76" s="7">
        <f t="shared" si="8"/>
        <v>50</v>
      </c>
      <c r="B76" s="19" t="s">
        <v>170</v>
      </c>
      <c r="C76" s="18">
        <f>SUM(C66:C74)</f>
        <v>0</v>
      </c>
      <c r="D76" s="18">
        <f>SUM(D66:D74)</f>
        <v>0</v>
      </c>
      <c r="F76" s="24"/>
      <c r="G76" s="24"/>
    </row>
    <row r="77" spans="1:10" s="25" customFormat="1" ht="21" customHeight="1">
      <c r="A77" s="7"/>
      <c r="B77" s="19"/>
      <c r="C77" s="18"/>
      <c r="D77" s="18"/>
      <c r="E77" s="18"/>
      <c r="F77" s="24"/>
      <c r="G77" s="24"/>
    </row>
    <row r="78" spans="1:10" s="25" customFormat="1" ht="14.25" customHeight="1">
      <c r="A78" s="7">
        <f>+A76+1</f>
        <v>51</v>
      </c>
      <c r="B78" s="19" t="str">
        <f>"Hedge Gain or Loss Prior to Application of Recovery Limit (Sum of Lines "&amp;A66&amp;" to "&amp;A74&amp;")"</f>
        <v>Hedge Gain or Loss Prior to Application of Recovery Limit (Sum of Lines 40 to 48)</v>
      </c>
      <c r="C78" s="18"/>
      <c r="D78" s="18"/>
      <c r="E78" s="18">
        <f>SUM(E66:E74)</f>
        <v>0</v>
      </c>
      <c r="F78" s="24"/>
      <c r="G78" s="24"/>
    </row>
    <row r="79" spans="1:10" s="25" customFormat="1" ht="12.75" customHeight="1">
      <c r="A79" s="7">
        <f>+A78+1</f>
        <v>52</v>
      </c>
      <c r="B79" s="34" t="str">
        <f>"Total Average Capital Structure Balance for "&amp;'SWT TCOS'!N2&amp;" (TCOS, Ln "&amp;'SWT TCOS'!B238&amp;")"</f>
        <v>Total Average Capital Structure Balance for 2019 (TCOS, Ln 144)</v>
      </c>
      <c r="C79" s="15"/>
      <c r="D79" s="10"/>
      <c r="E79" s="35">
        <f>+'SWT TCOS'!E238</f>
        <v>-1325879.6465384611</v>
      </c>
      <c r="F79" s="24"/>
      <c r="G79" s="24"/>
      <c r="H79" s="36"/>
    </row>
    <row r="80" spans="1:10" s="25" customFormat="1" ht="12.75" customHeight="1">
      <c r="A80" s="7">
        <f>+A79+1</f>
        <v>53</v>
      </c>
      <c r="B80" s="19" t="s">
        <v>171</v>
      </c>
      <c r="C80" s="15"/>
      <c r="D80" s="10"/>
      <c r="E80" s="37">
        <v>5.0000000000000001E-4</v>
      </c>
      <c r="F80" s="24"/>
      <c r="G80" s="38"/>
    </row>
    <row r="81" spans="1:7" s="25" customFormat="1" ht="12.75" customHeight="1" thickBot="1">
      <c r="A81" s="7">
        <f>+A80+1</f>
        <v>54</v>
      </c>
      <c r="B81" s="19" t="s">
        <v>172</v>
      </c>
      <c r="C81" s="15"/>
      <c r="D81" s="10"/>
      <c r="E81" s="39">
        <f>+E79*E80</f>
        <v>-662.9398232692306</v>
      </c>
      <c r="F81" s="24"/>
      <c r="G81" s="24"/>
    </row>
    <row r="82" spans="1:7" s="25" customFormat="1" ht="12.75" customHeight="1" thickBot="1">
      <c r="A82" s="7">
        <f>+A81+1</f>
        <v>55</v>
      </c>
      <c r="B82" s="8" t="str">
        <f>"Recoverable Hedge Amortization (Lesser of Ln "&amp;A78&amp;" or Ln "&amp;A81&amp;")"</f>
        <v>Recoverable Hedge Amortization (Lesser of Ln 51 or Ln 54)</v>
      </c>
      <c r="C82" s="15"/>
      <c r="D82" s="10"/>
      <c r="E82" s="40">
        <f>+IF(E81&lt;E78,E81,E78)</f>
        <v>-662.9398232692306</v>
      </c>
      <c r="F82" s="24"/>
      <c r="G82" s="24"/>
    </row>
    <row r="83" spans="1:7" s="25" customFormat="1" ht="12.75" customHeight="1">
      <c r="A83" s="7"/>
      <c r="B83" s="19"/>
      <c r="C83" s="15"/>
      <c r="D83" s="10"/>
      <c r="E83" s="15"/>
      <c r="F83" s="24"/>
      <c r="G83" s="24"/>
    </row>
    <row r="84" spans="1:7" s="25" customFormat="1" ht="12.75" customHeight="1">
      <c r="A84" s="41" t="s">
        <v>173</v>
      </c>
      <c r="B84" s="42"/>
      <c r="C84" s="15"/>
      <c r="D84" s="10"/>
      <c r="E84" s="15"/>
      <c r="F84" s="24"/>
      <c r="G84" s="24"/>
    </row>
    <row r="85" spans="1:7" s="25" customFormat="1" ht="12.75" customHeight="1">
      <c r="A85" s="27"/>
      <c r="B85" s="10"/>
      <c r="C85" s="9"/>
      <c r="D85" s="9"/>
      <c r="E85" s="24"/>
      <c r="F85" s="24"/>
      <c r="G85" s="24"/>
    </row>
    <row r="86" spans="1:7" s="25" customFormat="1" ht="12.75" customHeight="1">
      <c r="A86" s="7">
        <f>+A82+1</f>
        <v>56</v>
      </c>
      <c r="B86" s="10" t="str">
        <f>"Beginning/Ending Average Balance of Preferred Stock (Ln "&amp;A24&amp;" Col. "&amp;D9&amp;")"</f>
        <v>Beginning/Ending Average Balance of Preferred Stock (Ln 14 Col. (c))</v>
      </c>
      <c r="C86" s="132"/>
      <c r="D86" s="132"/>
      <c r="E86" s="43">
        <f>+D24</f>
        <v>0</v>
      </c>
      <c r="F86" s="10"/>
      <c r="G86" s="24"/>
    </row>
    <row r="87" spans="1:7" s="25" customFormat="1" ht="12.75" customHeight="1" thickBot="1">
      <c r="A87" s="7">
        <f>+A86+1</f>
        <v>57</v>
      </c>
      <c r="B87" s="10" t="s">
        <v>880</v>
      </c>
      <c r="C87" s="132"/>
      <c r="D87" s="132"/>
      <c r="E87" s="575"/>
      <c r="F87" s="24"/>
      <c r="G87" s="24"/>
    </row>
    <row r="88" spans="1:7" s="25" customFormat="1" ht="12.75" customHeight="1" thickBot="1">
      <c r="A88" s="7">
        <f>+A87+1</f>
        <v>58</v>
      </c>
      <c r="B88" s="45" t="str">
        <f>"Average Cost of Preferred Stock (Ln "&amp;A87&amp;"/ Ln "&amp;A86&amp;")"</f>
        <v>Average Cost of Preferred Stock (Ln 57/ Ln 56)</v>
      </c>
      <c r="C88" s="132"/>
      <c r="D88" s="132"/>
      <c r="E88" s="20">
        <f>IF(E86=0,0,+E87/E86)</f>
        <v>0</v>
      </c>
      <c r="F88" s="24"/>
      <c r="G88" s="24"/>
    </row>
    <row r="89" spans="1:7">
      <c r="C89" s="132"/>
      <c r="D89" s="132"/>
    </row>
    <row r="130" spans="7:7">
      <c r="G130" s="1230" t="s">
        <v>253</v>
      </c>
    </row>
    <row r="147" spans="7:12">
      <c r="G147" s="1271"/>
      <c r="L147" s="1271"/>
    </row>
  </sheetData>
  <mergeCells count="10">
    <mergeCell ref="B52:C52"/>
    <mergeCell ref="B62:E62"/>
    <mergeCell ref="B63:H63"/>
    <mergeCell ref="G64:H64"/>
    <mergeCell ref="A2:H2"/>
    <mergeCell ref="A3:H3"/>
    <mergeCell ref="A4:H4"/>
    <mergeCell ref="A5:H5"/>
    <mergeCell ref="C7:G7"/>
    <mergeCell ref="C26:H26"/>
  </mergeCells>
  <pageMargins left="0.7" right="0.7" top="0.75" bottom="0.75" header="0.3" footer="0.3"/>
  <pageSetup scale="46" fitToHeight="0" orientation="landscape" cellComments="asDisplayed" r:id="rId1"/>
  <headerFooter>
    <oddHeader xml:space="preserve">&amp;RAEP - SPP Transco Formula Rate
TCOS - WS M 
Page: &amp;P of &amp;N
</oddHeader>
  </headerFooter>
  <rowBreaks count="1" manualBreakCount="1">
    <brk id="45" max="11"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Normal="100" workbookViewId="0">
      <selection activeCell="D11" sqref="D11"/>
    </sheetView>
  </sheetViews>
  <sheetFormatPr defaultColWidth="9.1796875" defaultRowHeight="12.5"/>
  <cols>
    <col min="1" max="1" width="1.7265625" style="397" customWidth="1"/>
    <col min="2" max="2" width="25.1796875" style="397" customWidth="1"/>
    <col min="3" max="3" width="1.7265625" style="397" customWidth="1"/>
    <col min="4" max="4" width="21.26953125" style="397" customWidth="1"/>
    <col min="5" max="5" width="1.7265625" style="397" customWidth="1"/>
    <col min="6" max="6" width="22.26953125" style="397" customWidth="1"/>
    <col min="7" max="7" width="1.7265625" style="397" customWidth="1"/>
    <col min="8" max="8" width="17.26953125" style="397" customWidth="1"/>
    <col min="9" max="9" width="1.7265625" style="397" customWidth="1"/>
    <col min="10" max="10" width="15.54296875" style="397" customWidth="1"/>
    <col min="11" max="11" width="1.7265625" style="397" customWidth="1"/>
    <col min="12" max="12" width="15.81640625" style="397" customWidth="1"/>
    <col min="13" max="13" width="1.7265625" style="397" customWidth="1"/>
    <col min="14" max="14" width="13.54296875" style="397" customWidth="1"/>
    <col min="15" max="15" width="1.7265625" style="397" customWidth="1"/>
    <col min="16" max="16" width="14.1796875" style="397" customWidth="1"/>
    <col min="17" max="17" width="1.7265625" style="397" customWidth="1"/>
    <col min="18" max="18" width="14.453125" style="397" customWidth="1"/>
    <col min="19" max="19" width="7.7265625" style="397" bestFit="1" customWidth="1"/>
    <col min="20" max="20" width="3" style="397" hidden="1" customWidth="1"/>
    <col min="21" max="16384" width="9.1796875" style="397"/>
  </cols>
  <sheetData>
    <row r="1" spans="1:18" ht="15.5">
      <c r="A1" s="1272"/>
    </row>
    <row r="2" spans="1:18" ht="15.5">
      <c r="A2" s="1273"/>
    </row>
    <row r="3" spans="1:18" ht="15.5">
      <c r="A3" s="1273"/>
    </row>
    <row r="4" spans="1:18" ht="15.5">
      <c r="B4" s="2064" t="str">
        <f>+'SWT TCOS'!F4</f>
        <v xml:space="preserve">AEP West SPP Member Transmission Companies </v>
      </c>
      <c r="C4" s="2064"/>
      <c r="D4" s="2064"/>
      <c r="E4" s="2064"/>
      <c r="F4" s="2064"/>
      <c r="G4" s="2064"/>
      <c r="H4" s="2064"/>
      <c r="I4" s="2064"/>
      <c r="J4" s="2064"/>
      <c r="K4" s="2064"/>
      <c r="L4" s="2064"/>
      <c r="M4" s="2064"/>
      <c r="N4" s="2064"/>
      <c r="O4" s="2064"/>
      <c r="P4" s="2064"/>
      <c r="Q4" s="2064"/>
      <c r="R4" s="2064"/>
    </row>
    <row r="5" spans="1:18" ht="15.5">
      <c r="B5" s="2065" t="str">
        <f>+'SWT WS A-1 - Plant'!A3</f>
        <v xml:space="preserve">Actual / Projected 2019 Rate Year Cost of Service Formula Rate </v>
      </c>
      <c r="C5" s="2065"/>
      <c r="D5" s="2065"/>
      <c r="E5" s="2065"/>
      <c r="F5" s="2065"/>
      <c r="G5" s="2065"/>
      <c r="H5" s="2065"/>
      <c r="I5" s="2065"/>
      <c r="J5" s="2065"/>
      <c r="K5" s="2065"/>
      <c r="L5" s="2065"/>
      <c r="M5" s="2065"/>
      <c r="N5" s="2065"/>
      <c r="O5" s="2065"/>
      <c r="P5" s="2065"/>
      <c r="Q5" s="2065"/>
      <c r="R5" s="2065"/>
    </row>
    <row r="6" spans="1:18" ht="15.5">
      <c r="B6" s="2065" t="s">
        <v>682</v>
      </c>
      <c r="C6" s="2065"/>
      <c r="D6" s="2065"/>
      <c r="E6" s="2065"/>
      <c r="F6" s="2065"/>
      <c r="G6" s="2065"/>
      <c r="H6" s="2065"/>
      <c r="I6" s="2065"/>
      <c r="J6" s="2065"/>
      <c r="K6" s="2065"/>
      <c r="L6" s="2065"/>
      <c r="M6" s="2065"/>
      <c r="N6" s="2065"/>
      <c r="O6" s="2065"/>
      <c r="P6" s="2065"/>
      <c r="Q6" s="2065"/>
      <c r="R6" s="2065"/>
    </row>
    <row r="7" spans="1:18" ht="15.5">
      <c r="B7" s="2025" t="str">
        <f>+'SWT TCOS'!F8</f>
        <v>AEP SOUTHWESTERN TRANSMISSION COMPANY</v>
      </c>
      <c r="C7" s="2065"/>
      <c r="D7" s="2065"/>
      <c r="E7" s="2065"/>
      <c r="F7" s="2065"/>
      <c r="G7" s="2065"/>
      <c r="H7" s="2065"/>
      <c r="I7" s="2065"/>
      <c r="J7" s="2065"/>
      <c r="K7" s="2065"/>
      <c r="L7" s="2065"/>
      <c r="M7" s="2065"/>
      <c r="N7" s="2065"/>
      <c r="O7" s="2065"/>
      <c r="P7" s="2065"/>
      <c r="Q7" s="2065"/>
      <c r="R7" s="2065"/>
    </row>
    <row r="8" spans="1:18" ht="16" thickBot="1">
      <c r="B8" s="1274"/>
      <c r="C8" s="1275"/>
      <c r="D8" s="1275"/>
      <c r="E8" s="1275"/>
      <c r="F8" s="1275"/>
      <c r="G8" s="1275"/>
      <c r="H8" s="1275"/>
      <c r="I8" s="1275"/>
      <c r="J8" s="1275"/>
      <c r="K8" s="1275"/>
      <c r="P8" s="1275"/>
      <c r="Q8" s="1275"/>
      <c r="R8" s="1275"/>
    </row>
    <row r="9" spans="1:18" ht="60.75" customHeight="1">
      <c r="B9" s="1276" t="str">
        <f>"True up Revenue Requirement For Year "&amp;J9&amp;" Available May, "&amp;J10&amp; " Net of Schedule 11 Revenue Credits"</f>
        <v>True up Revenue Requirement For Year 2019 Available May, 2020 Net of Schedule 11 Revenue Credits</v>
      </c>
      <c r="C9" s="1275"/>
      <c r="D9" s="1276" t="s">
        <v>927</v>
      </c>
      <c r="E9" s="1277"/>
      <c r="F9" s="1278" t="s">
        <v>683</v>
      </c>
      <c r="G9" s="407"/>
      <c r="H9" s="1279" t="s">
        <v>684</v>
      </c>
      <c r="I9" s="1275"/>
      <c r="J9" s="1280">
        <f>+'SWT TCOS'!N2</f>
        <v>2019</v>
      </c>
      <c r="K9" s="1275"/>
      <c r="P9" s="407"/>
      <c r="Q9" s="407"/>
      <c r="R9" s="407"/>
    </row>
    <row r="10" spans="1:18" ht="15.5">
      <c r="B10" s="1281" t="s">
        <v>253</v>
      </c>
      <c r="C10" s="1275"/>
      <c r="D10" s="1281"/>
      <c r="E10" s="1277"/>
      <c r="F10" s="1282"/>
      <c r="G10" s="407"/>
      <c r="H10" s="1283" t="s">
        <v>685</v>
      </c>
      <c r="I10" s="1284"/>
      <c r="J10" s="1285">
        <f>J9+1</f>
        <v>2020</v>
      </c>
      <c r="P10" s="407"/>
      <c r="Q10" s="407"/>
      <c r="R10" s="407"/>
    </row>
    <row r="11" spans="1:18" ht="16" thickBot="1">
      <c r="B11" s="1286"/>
      <c r="C11" s="1287" t="s">
        <v>686</v>
      </c>
      <c r="D11" s="1286"/>
      <c r="E11" s="1288" t="s">
        <v>687</v>
      </c>
      <c r="F11" s="1289">
        <f>IF(B11=0,0,D11-B11)</f>
        <v>0</v>
      </c>
      <c r="G11" s="1290"/>
      <c r="H11" s="1291" t="s">
        <v>688</v>
      </c>
      <c r="I11" s="1292"/>
      <c r="J11" s="1293">
        <f>J10+1</f>
        <v>2021</v>
      </c>
      <c r="P11" s="407"/>
      <c r="Q11" s="407"/>
      <c r="R11" s="407"/>
    </row>
    <row r="12" spans="1:18" ht="15.5">
      <c r="B12" s="1292"/>
      <c r="C12" s="1294"/>
      <c r="D12" s="1292"/>
      <c r="E12" s="1292"/>
      <c r="F12" s="1292"/>
      <c r="G12" s="1292"/>
      <c r="H12" s="407"/>
      <c r="I12" s="407"/>
      <c r="P12" s="407"/>
      <c r="Q12" s="407"/>
      <c r="R12" s="407"/>
    </row>
    <row r="13" spans="1:18" ht="16" thickBot="1">
      <c r="B13" s="1295"/>
      <c r="C13" s="1296"/>
      <c r="D13" s="1295"/>
      <c r="E13" s="1295"/>
      <c r="F13" s="1295"/>
      <c r="G13" s="1295"/>
      <c r="H13" s="1295"/>
      <c r="I13" s="1295"/>
      <c r="J13" s="1295"/>
      <c r="K13" s="1295"/>
      <c r="L13" s="1295"/>
      <c r="M13" s="1295"/>
      <c r="N13" s="1298"/>
      <c r="O13" s="1298"/>
      <c r="P13" s="1298"/>
      <c r="Q13" s="1298"/>
      <c r="R13" s="1298"/>
    </row>
    <row r="14" spans="1:18" ht="15.5">
      <c r="B14" s="1299"/>
      <c r="C14" s="1294"/>
      <c r="D14" s="1292"/>
      <c r="E14" s="1292"/>
      <c r="F14" s="1292"/>
      <c r="G14" s="1292"/>
      <c r="H14" s="1292"/>
      <c r="I14" s="1292"/>
      <c r="J14" s="1292"/>
      <c r="K14" s="1292"/>
      <c r="L14" s="1292"/>
      <c r="M14" s="1292"/>
      <c r="N14" s="407"/>
      <c r="O14" s="407"/>
      <c r="P14" s="407"/>
      <c r="Q14" s="407"/>
      <c r="R14" s="407"/>
    </row>
    <row r="15" spans="1:18" ht="62">
      <c r="B15" s="1300" t="s">
        <v>689</v>
      </c>
      <c r="C15" s="1294"/>
      <c r="D15" s="1301" t="s">
        <v>690</v>
      </c>
      <c r="E15" s="1301"/>
      <c r="F15" s="1301" t="s">
        <v>691</v>
      </c>
      <c r="G15" s="1301"/>
      <c r="H15" s="1301" t="s">
        <v>692</v>
      </c>
      <c r="I15" s="1292"/>
      <c r="J15" s="1302" t="s">
        <v>693</v>
      </c>
      <c r="K15" s="1292"/>
      <c r="L15" s="1301" t="s">
        <v>910</v>
      </c>
      <c r="M15" s="1303"/>
      <c r="N15" s="1302" t="s">
        <v>694</v>
      </c>
      <c r="O15" s="1302"/>
      <c r="P15" s="1301" t="s">
        <v>695</v>
      </c>
      <c r="Q15" s="1304"/>
      <c r="R15" s="1301" t="s">
        <v>696</v>
      </c>
    </row>
    <row r="16" spans="1:18" ht="15.5">
      <c r="B16" s="1305"/>
      <c r="C16" s="1294"/>
      <c r="D16" s="407"/>
      <c r="E16" s="407"/>
      <c r="F16" s="407"/>
      <c r="G16" s="407"/>
      <c r="H16" s="407"/>
      <c r="I16" s="1864"/>
      <c r="J16" s="1864"/>
      <c r="K16" s="1864"/>
      <c r="N16" s="407"/>
      <c r="O16" s="407"/>
      <c r="P16" s="407"/>
      <c r="Q16" s="407"/>
      <c r="R16" s="407"/>
    </row>
    <row r="17" spans="2:20" ht="15.5">
      <c r="B17" s="1307" t="s">
        <v>697</v>
      </c>
      <c r="C17" s="1294"/>
      <c r="D17" s="1294"/>
      <c r="E17" s="1294"/>
      <c r="F17" s="1294"/>
      <c r="G17" s="1294"/>
      <c r="H17" s="1294"/>
      <c r="I17" s="1294"/>
      <c r="J17" s="1294"/>
      <c r="K17" s="1294"/>
      <c r="L17" s="407"/>
      <c r="M17" s="407"/>
      <c r="N17" s="1303"/>
      <c r="O17" s="1303"/>
      <c r="P17" s="1294"/>
      <c r="Q17" s="1294"/>
      <c r="R17" s="1294"/>
    </row>
    <row r="18" spans="2:20" ht="15.5">
      <c r="B18" s="1308" t="s">
        <v>125</v>
      </c>
      <c r="C18" s="1294"/>
      <c r="D18" s="1294"/>
      <c r="E18" s="1294"/>
      <c r="F18" s="1294"/>
      <c r="G18" s="1294"/>
      <c r="H18" s="1294"/>
      <c r="I18" s="1294"/>
      <c r="J18" s="1294"/>
      <c r="K18" s="1294"/>
      <c r="L18" s="407"/>
      <c r="M18" s="407"/>
      <c r="N18" s="1303"/>
      <c r="O18" s="1303"/>
      <c r="P18" s="1294"/>
      <c r="Q18" s="1294"/>
      <c r="R18" s="1294"/>
    </row>
    <row r="19" spans="2:20" ht="15.5">
      <c r="B19" s="1309">
        <f t="shared" ref="B19:B30" si="0">DATE($J$9,T19,1)</f>
        <v>43466</v>
      </c>
      <c r="C19" s="1275"/>
      <c r="D19" s="1865">
        <f>F11/12</f>
        <v>0</v>
      </c>
      <c r="E19" s="1866"/>
      <c r="F19" s="1865">
        <v>0</v>
      </c>
      <c r="G19" s="1865"/>
      <c r="H19" s="1865">
        <v>0</v>
      </c>
      <c r="I19" s="1865"/>
      <c r="J19" s="1865">
        <f>F19+H19</f>
        <v>0</v>
      </c>
      <c r="K19" s="1866"/>
      <c r="L19" s="1312">
        <f>+'SWT WS Q Interest Rate'!E13</f>
        <v>4.4000000000000003E-3</v>
      </c>
      <c r="M19" s="1313"/>
      <c r="N19" s="1865">
        <f t="shared" ref="N19:N30" si="1">J19*L19</f>
        <v>0</v>
      </c>
      <c r="O19" s="1865"/>
      <c r="P19" s="1865"/>
      <c r="Q19" s="1865"/>
      <c r="R19" s="1865">
        <f>D19+N19</f>
        <v>0</v>
      </c>
      <c r="T19" s="397">
        <v>1</v>
      </c>
    </row>
    <row r="20" spans="2:20" ht="15.5">
      <c r="B20" s="1309">
        <f t="shared" si="0"/>
        <v>43497</v>
      </c>
      <c r="C20" s="1275"/>
      <c r="D20" s="1865">
        <f>+D19</f>
        <v>0</v>
      </c>
      <c r="E20" s="1866"/>
      <c r="F20" s="1865">
        <f>D19</f>
        <v>0</v>
      </c>
      <c r="G20" s="1865"/>
      <c r="H20" s="1865">
        <v>0</v>
      </c>
      <c r="I20" s="1865"/>
      <c r="J20" s="1865">
        <f t="shared" ref="J20:J29" si="2">F20+H20</f>
        <v>0</v>
      </c>
      <c r="K20" s="1866"/>
      <c r="L20" s="1312">
        <f>+'SWT WS Q Interest Rate'!E14</f>
        <v>4.0000000000000001E-3</v>
      </c>
      <c r="M20" s="1313"/>
      <c r="N20" s="1865">
        <f t="shared" si="1"/>
        <v>0</v>
      </c>
      <c r="O20" s="1865"/>
      <c r="P20" s="1865"/>
      <c r="Q20" s="1865"/>
      <c r="R20" s="1865">
        <f>SUM($D$19:D20)+SUM($N$19:N20)</f>
        <v>0</v>
      </c>
      <c r="T20" s="397">
        <v>2</v>
      </c>
    </row>
    <row r="21" spans="2:20" ht="15.5">
      <c r="B21" s="1309">
        <f t="shared" si="0"/>
        <v>43525</v>
      </c>
      <c r="C21" s="1275"/>
      <c r="D21" s="1865">
        <f>+D20</f>
        <v>0</v>
      </c>
      <c r="E21" s="1866"/>
      <c r="F21" s="1865">
        <f>D20+F20</f>
        <v>0</v>
      </c>
      <c r="G21" s="1865"/>
      <c r="H21" s="1865">
        <v>0</v>
      </c>
      <c r="I21" s="1865"/>
      <c r="J21" s="1865">
        <f t="shared" si="2"/>
        <v>0</v>
      </c>
      <c r="K21" s="1866"/>
      <c r="L21" s="1312">
        <f>+'SWT WS Q Interest Rate'!E15</f>
        <v>4.4000000000000003E-3</v>
      </c>
      <c r="M21" s="1313"/>
      <c r="N21" s="1865">
        <f t="shared" si="1"/>
        <v>0</v>
      </c>
      <c r="O21" s="1865"/>
      <c r="P21" s="1865"/>
      <c r="Q21" s="1865"/>
      <c r="R21" s="1865">
        <f>SUM($D$19:D21)+SUM($N$19:N21)</f>
        <v>0</v>
      </c>
      <c r="T21" s="397">
        <v>3</v>
      </c>
    </row>
    <row r="22" spans="2:20" ht="15.5">
      <c r="B22" s="1309">
        <f t="shared" si="0"/>
        <v>43556</v>
      </c>
      <c r="C22" s="1275"/>
      <c r="D22" s="1865">
        <f>+D21</f>
        <v>0</v>
      </c>
      <c r="E22" s="1866"/>
      <c r="F22" s="1865">
        <f t="shared" ref="F22:F28" si="3">D21+F21</f>
        <v>0</v>
      </c>
      <c r="G22" s="1865"/>
      <c r="H22" s="1865">
        <f>SUM($N$19:$N$21)</f>
        <v>0</v>
      </c>
      <c r="I22" s="1865"/>
      <c r="J22" s="1865">
        <f t="shared" si="2"/>
        <v>0</v>
      </c>
      <c r="K22" s="1866"/>
      <c r="L22" s="1312">
        <f>+'SWT WS Q Interest Rate'!E16</f>
        <v>4.4999999999999997E-3</v>
      </c>
      <c r="M22" s="1313"/>
      <c r="N22" s="1865">
        <f t="shared" si="1"/>
        <v>0</v>
      </c>
      <c r="O22" s="1865"/>
      <c r="P22" s="1865"/>
      <c r="Q22" s="1865"/>
      <c r="R22" s="1865">
        <f>SUM($D$19:D22)+SUM($N$19:N22)</f>
        <v>0</v>
      </c>
      <c r="T22" s="397">
        <v>4</v>
      </c>
    </row>
    <row r="23" spans="2:20" ht="15.5">
      <c r="B23" s="1309">
        <f t="shared" si="0"/>
        <v>43586</v>
      </c>
      <c r="C23" s="1275"/>
      <c r="D23" s="1865">
        <f t="shared" ref="D23:D28" si="4">+D22</f>
        <v>0</v>
      </c>
      <c r="E23" s="1866"/>
      <c r="F23" s="1865">
        <f t="shared" si="3"/>
        <v>0</v>
      </c>
      <c r="G23" s="1865"/>
      <c r="H23" s="1865">
        <f t="shared" ref="H23:H24" si="5">SUM($N$19:$N$21)</f>
        <v>0</v>
      </c>
      <c r="I23" s="1865"/>
      <c r="J23" s="1865">
        <f t="shared" si="2"/>
        <v>0</v>
      </c>
      <c r="K23" s="1866"/>
      <c r="L23" s="1312">
        <f>+'SWT WS Q Interest Rate'!E17</f>
        <v>4.5999999999999999E-3</v>
      </c>
      <c r="M23" s="1313"/>
      <c r="N23" s="1865">
        <f t="shared" si="1"/>
        <v>0</v>
      </c>
      <c r="O23" s="1865"/>
      <c r="P23" s="1865"/>
      <c r="Q23" s="1865"/>
      <c r="R23" s="1865">
        <f>SUM($D$19:D23)+SUM($N$19:N23)</f>
        <v>0</v>
      </c>
      <c r="T23" s="397">
        <v>5</v>
      </c>
    </row>
    <row r="24" spans="2:20" ht="15.5">
      <c r="B24" s="1309">
        <f t="shared" si="0"/>
        <v>43617</v>
      </c>
      <c r="C24" s="1275"/>
      <c r="D24" s="1865">
        <f t="shared" si="4"/>
        <v>0</v>
      </c>
      <c r="E24" s="1866"/>
      <c r="F24" s="1865">
        <f t="shared" si="3"/>
        <v>0</v>
      </c>
      <c r="G24" s="1865"/>
      <c r="H24" s="1865">
        <f t="shared" si="5"/>
        <v>0</v>
      </c>
      <c r="I24" s="1865"/>
      <c r="J24" s="1865">
        <f t="shared" si="2"/>
        <v>0</v>
      </c>
      <c r="K24" s="1866"/>
      <c r="L24" s="1312">
        <f>+'SWT WS Q Interest Rate'!E18</f>
        <v>4.4999999999999997E-3</v>
      </c>
      <c r="M24" s="1313"/>
      <c r="N24" s="1865">
        <f t="shared" si="1"/>
        <v>0</v>
      </c>
      <c r="O24" s="1865"/>
      <c r="P24" s="1865"/>
      <c r="Q24" s="1865"/>
      <c r="R24" s="1865">
        <f>SUM($D$19:D24)+SUM($N$19:N24)</f>
        <v>0</v>
      </c>
      <c r="T24" s="397">
        <v>6</v>
      </c>
    </row>
    <row r="25" spans="2:20" ht="15.5">
      <c r="B25" s="1309">
        <f t="shared" si="0"/>
        <v>43647</v>
      </c>
      <c r="C25" s="1275"/>
      <c r="D25" s="1865">
        <f t="shared" si="4"/>
        <v>0</v>
      </c>
      <c r="E25" s="1866"/>
      <c r="F25" s="1865">
        <f t="shared" si="3"/>
        <v>0</v>
      </c>
      <c r="G25" s="1865"/>
      <c r="H25" s="1865">
        <f>$H$24+SUM($N$22:$N$24)</f>
        <v>0</v>
      </c>
      <c r="I25" s="1865"/>
      <c r="J25" s="1865">
        <f t="shared" si="2"/>
        <v>0</v>
      </c>
      <c r="K25" s="1866"/>
      <c r="L25" s="1312">
        <f>+'SWT WS Q Interest Rate'!E19</f>
        <v>4.7000000000000002E-3</v>
      </c>
      <c r="M25" s="1313"/>
      <c r="N25" s="1865">
        <f t="shared" si="1"/>
        <v>0</v>
      </c>
      <c r="O25" s="1865"/>
      <c r="P25" s="1865"/>
      <c r="Q25" s="1865"/>
      <c r="R25" s="1865">
        <f>SUM($D$19:D25)+SUM($N$19:N25)</f>
        <v>0</v>
      </c>
      <c r="T25" s="397">
        <v>7</v>
      </c>
    </row>
    <row r="26" spans="2:20" ht="15.5">
      <c r="B26" s="1309">
        <f t="shared" si="0"/>
        <v>43678</v>
      </c>
      <c r="C26" s="1275"/>
      <c r="D26" s="1865">
        <f t="shared" si="4"/>
        <v>0</v>
      </c>
      <c r="E26" s="1866"/>
      <c r="F26" s="1865">
        <f t="shared" si="3"/>
        <v>0</v>
      </c>
      <c r="G26" s="1865"/>
      <c r="H26" s="1865">
        <f>$H$24+SUM($N$22:$N$24)</f>
        <v>0</v>
      </c>
      <c r="I26" s="1865"/>
      <c r="J26" s="1865">
        <f t="shared" si="2"/>
        <v>0</v>
      </c>
      <c r="K26" s="1866"/>
      <c r="L26" s="1312">
        <f>+'SWT WS Q Interest Rate'!E20</f>
        <v>4.7000000000000002E-3</v>
      </c>
      <c r="M26" s="1313"/>
      <c r="N26" s="1865">
        <f t="shared" si="1"/>
        <v>0</v>
      </c>
      <c r="O26" s="1865"/>
      <c r="P26" s="1865"/>
      <c r="Q26" s="1865"/>
      <c r="R26" s="1865">
        <f>SUM($D$19:D26)+SUM($N$19:N26)</f>
        <v>0</v>
      </c>
      <c r="T26" s="397">
        <v>8</v>
      </c>
    </row>
    <row r="27" spans="2:20" ht="15.5">
      <c r="B27" s="1309">
        <f t="shared" si="0"/>
        <v>43709</v>
      </c>
      <c r="C27" s="1275"/>
      <c r="D27" s="1865">
        <f t="shared" si="4"/>
        <v>0</v>
      </c>
      <c r="E27" s="1866"/>
      <c r="F27" s="1865">
        <f t="shared" si="3"/>
        <v>0</v>
      </c>
      <c r="G27" s="1865"/>
      <c r="H27" s="1865">
        <f>$H$24+SUM($N$22:$N$24)</f>
        <v>0</v>
      </c>
      <c r="I27" s="1865"/>
      <c r="J27" s="1865">
        <f t="shared" si="2"/>
        <v>0</v>
      </c>
      <c r="K27" s="1866"/>
      <c r="L27" s="1312">
        <f>+'SWT WS Q Interest Rate'!E21</f>
        <v>4.4999999999999997E-3</v>
      </c>
      <c r="M27" s="1313"/>
      <c r="N27" s="1865">
        <f t="shared" si="1"/>
        <v>0</v>
      </c>
      <c r="O27" s="1865"/>
      <c r="P27" s="1865"/>
      <c r="Q27" s="1865"/>
      <c r="R27" s="1865">
        <f>SUM($D$19:D27)+SUM($N$19:N27)</f>
        <v>0</v>
      </c>
      <c r="T27" s="397">
        <v>9</v>
      </c>
    </row>
    <row r="28" spans="2:20" ht="15.5">
      <c r="B28" s="1309">
        <f t="shared" si="0"/>
        <v>43739</v>
      </c>
      <c r="C28" s="1275"/>
      <c r="D28" s="1865">
        <f t="shared" si="4"/>
        <v>0</v>
      </c>
      <c r="E28" s="1866"/>
      <c r="F28" s="1865">
        <f t="shared" si="3"/>
        <v>0</v>
      </c>
      <c r="G28" s="1865"/>
      <c r="H28" s="1865">
        <f>$H$27+SUM($N$25:$N$27)</f>
        <v>0</v>
      </c>
      <c r="I28" s="1865"/>
      <c r="J28" s="1865">
        <f t="shared" si="2"/>
        <v>0</v>
      </c>
      <c r="K28" s="1866"/>
      <c r="L28" s="1312">
        <f>+'SWT WS Q Interest Rate'!E22</f>
        <v>4.5999999999999999E-3</v>
      </c>
      <c r="M28" s="1313"/>
      <c r="N28" s="1865">
        <f t="shared" si="1"/>
        <v>0</v>
      </c>
      <c r="O28" s="1865"/>
      <c r="P28" s="1865"/>
      <c r="Q28" s="1865"/>
      <c r="R28" s="1865">
        <f>SUM($D$19:D28)+SUM($N$19:N28)</f>
        <v>0</v>
      </c>
      <c r="T28" s="397">
        <v>10</v>
      </c>
    </row>
    <row r="29" spans="2:20" ht="15.5">
      <c r="B29" s="1309">
        <f t="shared" si="0"/>
        <v>43770</v>
      </c>
      <c r="C29" s="1275"/>
      <c r="D29" s="1865">
        <f>+D28</f>
        <v>0</v>
      </c>
      <c r="E29" s="1866"/>
      <c r="F29" s="1865">
        <f>D28+F28</f>
        <v>0</v>
      </c>
      <c r="G29" s="1865"/>
      <c r="H29" s="1865">
        <f>$H$27+SUM($N$25:$N$27)</f>
        <v>0</v>
      </c>
      <c r="I29" s="1865"/>
      <c r="J29" s="1865">
        <f t="shared" si="2"/>
        <v>0</v>
      </c>
      <c r="K29" s="1866"/>
      <c r="L29" s="1312">
        <f>+'SWT WS Q Interest Rate'!E23</f>
        <v>4.4999999999999997E-3</v>
      </c>
      <c r="M29" s="1313"/>
      <c r="N29" s="1865">
        <f t="shared" si="1"/>
        <v>0</v>
      </c>
      <c r="O29" s="1865"/>
      <c r="P29" s="1865"/>
      <c r="Q29" s="1865"/>
      <c r="R29" s="1865">
        <f>SUM($D$19:D29)+SUM($N$19:N29)</f>
        <v>0</v>
      </c>
      <c r="T29" s="397">
        <v>11</v>
      </c>
    </row>
    <row r="30" spans="2:20" ht="15.5">
      <c r="B30" s="1309">
        <f t="shared" si="0"/>
        <v>43800</v>
      </c>
      <c r="C30" s="1275"/>
      <c r="D30" s="1865">
        <f>+D29</f>
        <v>0</v>
      </c>
      <c r="E30" s="1866"/>
      <c r="F30" s="1865">
        <f>D29+F29</f>
        <v>0</v>
      </c>
      <c r="G30" s="1865"/>
      <c r="H30" s="1865">
        <f>$H$27+SUM($N$25:$N$27)</f>
        <v>0</v>
      </c>
      <c r="I30" s="1865"/>
      <c r="J30" s="1865">
        <f>F30+H30</f>
        <v>0</v>
      </c>
      <c r="K30" s="1866"/>
      <c r="L30" s="1312">
        <f>+'SWT WS Q Interest Rate'!E24</f>
        <v>4.5999999999999999E-3</v>
      </c>
      <c r="M30" s="1313"/>
      <c r="N30" s="1865">
        <f t="shared" si="1"/>
        <v>0</v>
      </c>
      <c r="O30" s="1867"/>
      <c r="P30" s="1865"/>
      <c r="Q30" s="1865"/>
      <c r="R30" s="1865">
        <f>SUM($D$19:D30)+SUM($N$19:N30)</f>
        <v>0</v>
      </c>
      <c r="T30" s="397">
        <v>12</v>
      </c>
    </row>
    <row r="31" spans="2:20" ht="15.5">
      <c r="B31" s="1275"/>
      <c r="C31" s="1275"/>
      <c r="D31" s="1865"/>
      <c r="E31" s="1866"/>
      <c r="F31" s="1865"/>
      <c r="G31" s="1865"/>
      <c r="H31" s="1865"/>
      <c r="I31" s="1865"/>
      <c r="J31" s="1865"/>
      <c r="K31" s="1866"/>
      <c r="L31" s="1294"/>
      <c r="M31" s="1275"/>
      <c r="N31" s="1867"/>
      <c r="O31" s="1867"/>
      <c r="P31" s="1865"/>
      <c r="Q31" s="1865"/>
      <c r="R31" s="1868"/>
    </row>
    <row r="32" spans="2:20" ht="15.5">
      <c r="B32" s="1308" t="s">
        <v>698</v>
      </c>
      <c r="C32" s="1275"/>
      <c r="D32" s="1865"/>
      <c r="E32" s="1866"/>
      <c r="F32" s="1865"/>
      <c r="G32" s="1865"/>
      <c r="H32" s="1865"/>
      <c r="I32" s="1865"/>
      <c r="J32" s="1865"/>
      <c r="K32" s="1866"/>
      <c r="L32" s="1294"/>
      <c r="M32" s="1275"/>
      <c r="N32" s="1865"/>
      <c r="O32" s="1865"/>
      <c r="P32" s="1865" t="s">
        <v>253</v>
      </c>
      <c r="Q32" s="1865"/>
      <c r="R32" s="1869"/>
    </row>
    <row r="33" spans="2:20" ht="15.5">
      <c r="B33" s="1309">
        <f t="shared" ref="B33:B44" si="6">DATE($J$10,T33,1)</f>
        <v>43831</v>
      </c>
      <c r="C33" s="1275"/>
      <c r="D33" s="1865">
        <v>0</v>
      </c>
      <c r="E33" s="1866"/>
      <c r="F33" s="1865">
        <f>D30+F30</f>
        <v>0</v>
      </c>
      <c r="G33" s="1865"/>
      <c r="H33" s="1865">
        <f>$H$30+SUM($N$28:$N$30)</f>
        <v>0</v>
      </c>
      <c r="I33" s="1865"/>
      <c r="J33" s="1865">
        <f>F33+H33</f>
        <v>0</v>
      </c>
      <c r="K33" s="1866"/>
      <c r="L33" s="1312">
        <f>+'SWT WS Q Interest Rate'!E25</f>
        <v>4.1999999999999997E-3</v>
      </c>
      <c r="M33" s="1313"/>
      <c r="N33" s="1865">
        <f t="shared" ref="N33:N44" si="7">J33*L33</f>
        <v>0</v>
      </c>
      <c r="O33" s="1865"/>
      <c r="P33" s="1865"/>
      <c r="Q33" s="1865"/>
      <c r="R33" s="1865">
        <f>SUM($D$19:D33)+SUM($N$19:N33)</f>
        <v>0</v>
      </c>
      <c r="T33" s="397">
        <v>1</v>
      </c>
    </row>
    <row r="34" spans="2:20" ht="15.5">
      <c r="B34" s="1309">
        <f t="shared" si="6"/>
        <v>43862</v>
      </c>
      <c r="C34" s="1275"/>
      <c r="D34" s="1865">
        <v>0</v>
      </c>
      <c r="E34" s="1866"/>
      <c r="F34" s="1865">
        <f>D33+F33</f>
        <v>0</v>
      </c>
      <c r="G34" s="1865"/>
      <c r="H34" s="1865">
        <f>$H$30+SUM($N$28:$N$30)</f>
        <v>0</v>
      </c>
      <c r="I34" s="1865"/>
      <c r="J34" s="1865">
        <f>F34+H34</f>
        <v>0</v>
      </c>
      <c r="K34" s="1866"/>
      <c r="L34" s="1312">
        <f>+'SWT WS Q Interest Rate'!E26</f>
        <v>3.8999999999999998E-3</v>
      </c>
      <c r="M34" s="1313"/>
      <c r="N34" s="1865">
        <f t="shared" si="7"/>
        <v>0</v>
      </c>
      <c r="O34" s="1865"/>
      <c r="P34" s="1865"/>
      <c r="Q34" s="1865"/>
      <c r="R34" s="1865">
        <f>SUM($D$19:D34)+SUM($N$19:N34)</f>
        <v>0</v>
      </c>
      <c r="T34" s="397">
        <v>2</v>
      </c>
    </row>
    <row r="35" spans="2:20" ht="15.5">
      <c r="B35" s="1309">
        <f t="shared" si="6"/>
        <v>43891</v>
      </c>
      <c r="C35" s="1275"/>
      <c r="D35" s="1865">
        <v>0</v>
      </c>
      <c r="E35" s="1866"/>
      <c r="F35" s="1865">
        <f t="shared" ref="F35:F43" si="8">D34+F34</f>
        <v>0</v>
      </c>
      <c r="G35" s="1865"/>
      <c r="H35" s="1865">
        <f>$H$30+SUM($N$28:$N$30)</f>
        <v>0</v>
      </c>
      <c r="I35" s="1865"/>
      <c r="J35" s="1865">
        <f t="shared" ref="J35:J41" si="9">F35+H35</f>
        <v>0</v>
      </c>
      <c r="K35" s="1866"/>
      <c r="L35" s="1312">
        <f>+'SWT WS Q Interest Rate'!E27</f>
        <v>4.1999999999999997E-3</v>
      </c>
      <c r="M35" s="1313"/>
      <c r="N35" s="1865">
        <f t="shared" si="7"/>
        <v>0</v>
      </c>
      <c r="O35" s="1865"/>
      <c r="P35" s="1865"/>
      <c r="Q35" s="1865"/>
      <c r="R35" s="1865">
        <f>SUM($D$19:D35)+SUM($N$19:N35)</f>
        <v>0</v>
      </c>
      <c r="T35" s="397">
        <v>3</v>
      </c>
    </row>
    <row r="36" spans="2:20" ht="15.5">
      <c r="B36" s="1309">
        <f t="shared" si="6"/>
        <v>43922</v>
      </c>
      <c r="C36" s="1275"/>
      <c r="D36" s="1865">
        <v>0</v>
      </c>
      <c r="E36" s="1866"/>
      <c r="F36" s="1865">
        <f t="shared" si="8"/>
        <v>0</v>
      </c>
      <c r="G36" s="1865"/>
      <c r="H36" s="1865">
        <f>$H$35+SUM($N$33:$N$35)</f>
        <v>0</v>
      </c>
      <c r="I36" s="1865"/>
      <c r="J36" s="1865">
        <f>F36+H36</f>
        <v>0</v>
      </c>
      <c r="K36" s="1866"/>
      <c r="L36" s="1312">
        <f>+'SWT WS Q Interest Rate'!E28</f>
        <v>3.8999999999999998E-3</v>
      </c>
      <c r="M36" s="1313"/>
      <c r="N36" s="1865">
        <f t="shared" si="7"/>
        <v>0</v>
      </c>
      <c r="O36" s="1865"/>
      <c r="P36" s="1865"/>
      <c r="Q36" s="1865"/>
      <c r="R36" s="1865">
        <f>SUM($D$19:D36)+SUM($N$19:N36)</f>
        <v>0</v>
      </c>
      <c r="T36" s="397">
        <v>4</v>
      </c>
    </row>
    <row r="37" spans="2:20" ht="15.5">
      <c r="B37" s="1309">
        <f t="shared" si="6"/>
        <v>43952</v>
      </c>
      <c r="C37" s="1275"/>
      <c r="D37" s="1865">
        <v>0</v>
      </c>
      <c r="E37" s="1866"/>
      <c r="F37" s="1865">
        <f t="shared" si="8"/>
        <v>0</v>
      </c>
      <c r="G37" s="1865"/>
      <c r="H37" s="1865">
        <f>$H$35+SUM($N$33:$N$35)</f>
        <v>0</v>
      </c>
      <c r="I37" s="1865"/>
      <c r="J37" s="1865">
        <f t="shared" si="9"/>
        <v>0</v>
      </c>
      <c r="K37" s="1866"/>
      <c r="L37" s="1312">
        <f>+'SWT WS Q Interest Rate'!E29</f>
        <v>4.0000000000000001E-3</v>
      </c>
      <c r="M37" s="1313"/>
      <c r="N37" s="1865">
        <f t="shared" si="7"/>
        <v>0</v>
      </c>
      <c r="O37" s="1865"/>
      <c r="P37" s="1865"/>
      <c r="Q37" s="1865"/>
      <c r="R37" s="1865">
        <f>SUM($D$19:D37)+SUM($N$19:N37)</f>
        <v>0</v>
      </c>
      <c r="T37" s="397">
        <v>5</v>
      </c>
    </row>
    <row r="38" spans="2:20" ht="15.5">
      <c r="B38" s="1309">
        <f t="shared" si="6"/>
        <v>43983</v>
      </c>
      <c r="C38" s="1275"/>
      <c r="D38" s="1865">
        <v>0</v>
      </c>
      <c r="E38" s="1866"/>
      <c r="F38" s="1865">
        <f t="shared" si="8"/>
        <v>0</v>
      </c>
      <c r="G38" s="1865"/>
      <c r="H38" s="1865">
        <f>$H$35+SUM($N$33:$N$35)</f>
        <v>0</v>
      </c>
      <c r="I38" s="1865"/>
      <c r="J38" s="1865">
        <f t="shared" si="9"/>
        <v>0</v>
      </c>
      <c r="K38" s="1866"/>
      <c r="L38" s="1312">
        <f>+'SWT WS Q Interest Rate'!E30</f>
        <v>3.8999999999999998E-3</v>
      </c>
      <c r="M38" s="1313"/>
      <c r="N38" s="1865">
        <f t="shared" si="7"/>
        <v>0</v>
      </c>
      <c r="O38" s="1865"/>
      <c r="P38" s="1865"/>
      <c r="Q38" s="1865"/>
      <c r="R38" s="1865">
        <f>SUM($D$19:D38)+SUM($N$19:N38)</f>
        <v>0</v>
      </c>
      <c r="T38" s="397">
        <v>6</v>
      </c>
    </row>
    <row r="39" spans="2:20" ht="15.5">
      <c r="B39" s="1309">
        <f t="shared" si="6"/>
        <v>44013</v>
      </c>
      <c r="C39" s="1275"/>
      <c r="D39" s="1865">
        <v>0</v>
      </c>
      <c r="E39" s="1866"/>
      <c r="F39" s="1865">
        <f t="shared" si="8"/>
        <v>0</v>
      </c>
      <c r="G39" s="1865"/>
      <c r="H39" s="1865">
        <f>$H$38+SUM($N$36:$N$38)</f>
        <v>0</v>
      </c>
      <c r="I39" s="1865"/>
      <c r="J39" s="1865">
        <f>F39+H39</f>
        <v>0</v>
      </c>
      <c r="K39" s="1866"/>
      <c r="L39" s="1312">
        <f>+'SWT WS Q Interest Rate'!E31</f>
        <v>3.8999999999999998E-3</v>
      </c>
      <c r="M39" s="1313"/>
      <c r="N39" s="1865">
        <f t="shared" si="7"/>
        <v>0</v>
      </c>
      <c r="O39" s="1865"/>
      <c r="P39" s="1865"/>
      <c r="Q39" s="1865"/>
      <c r="R39" s="1865">
        <f>SUM($D$19:D39)+SUM($N$19:N39)</f>
        <v>0</v>
      </c>
      <c r="T39" s="397">
        <v>7</v>
      </c>
    </row>
    <row r="40" spans="2:20" ht="15.5">
      <c r="B40" s="1309">
        <f t="shared" si="6"/>
        <v>44044</v>
      </c>
      <c r="C40" s="1275"/>
      <c r="D40" s="1865">
        <v>0</v>
      </c>
      <c r="E40" s="1866"/>
      <c r="F40" s="1865">
        <f t="shared" si="8"/>
        <v>0</v>
      </c>
      <c r="G40" s="1865"/>
      <c r="H40" s="1865">
        <f>$H$38+SUM($N$36:$N$38)</f>
        <v>0</v>
      </c>
      <c r="I40" s="1865"/>
      <c r="J40" s="1865">
        <f t="shared" si="9"/>
        <v>0</v>
      </c>
      <c r="K40" s="1866"/>
      <c r="L40" s="1312">
        <f>+'SWT WS Q Interest Rate'!E32</f>
        <v>3.8999999999999998E-3</v>
      </c>
      <c r="M40" s="1313"/>
      <c r="N40" s="1865">
        <f t="shared" si="7"/>
        <v>0</v>
      </c>
      <c r="O40" s="1865"/>
      <c r="P40" s="1865"/>
      <c r="Q40" s="1865"/>
      <c r="R40" s="1865">
        <f>SUM($D$19:D40)+SUM($N$19:N40)</f>
        <v>0</v>
      </c>
      <c r="T40" s="397">
        <v>8</v>
      </c>
    </row>
    <row r="41" spans="2:20" ht="15.5">
      <c r="B41" s="1309">
        <f t="shared" si="6"/>
        <v>44075</v>
      </c>
      <c r="C41" s="1275"/>
      <c r="D41" s="1865">
        <v>0</v>
      </c>
      <c r="E41" s="1866"/>
      <c r="F41" s="1865">
        <f t="shared" si="8"/>
        <v>0</v>
      </c>
      <c r="G41" s="1865"/>
      <c r="H41" s="1865">
        <f>$H$38+SUM($N$36:$N$38)</f>
        <v>0</v>
      </c>
      <c r="I41" s="1865"/>
      <c r="J41" s="1865">
        <f t="shared" si="9"/>
        <v>0</v>
      </c>
      <c r="K41" s="1866"/>
      <c r="L41" s="1312">
        <f>+'SWT WS Q Interest Rate'!E33</f>
        <v>3.8999999999999998E-3</v>
      </c>
      <c r="M41" s="1313"/>
      <c r="N41" s="1865">
        <f t="shared" si="7"/>
        <v>0</v>
      </c>
      <c r="O41" s="1865"/>
      <c r="P41" s="1865"/>
      <c r="Q41" s="1865"/>
      <c r="R41" s="1865">
        <f>SUM($D$19:D41)+SUM($N$19:N41)</f>
        <v>0</v>
      </c>
      <c r="T41" s="397">
        <v>9</v>
      </c>
    </row>
    <row r="42" spans="2:20" ht="15.5">
      <c r="B42" s="1309">
        <f t="shared" si="6"/>
        <v>44105</v>
      </c>
      <c r="C42" s="1275"/>
      <c r="D42" s="1865">
        <v>0</v>
      </c>
      <c r="E42" s="1866"/>
      <c r="F42" s="1865">
        <f t="shared" si="8"/>
        <v>0</v>
      </c>
      <c r="G42" s="1865"/>
      <c r="H42" s="1865">
        <f>$H$41+SUM($N$39:$N$41)</f>
        <v>0</v>
      </c>
      <c r="I42" s="1865"/>
      <c r="J42" s="1865">
        <f>F42+H42</f>
        <v>0</v>
      </c>
      <c r="K42" s="1866"/>
      <c r="L42" s="1312">
        <f>+'SWT WS Q Interest Rate'!E34</f>
        <v>3.8999999999999998E-3</v>
      </c>
      <c r="M42" s="1313"/>
      <c r="N42" s="1865">
        <f t="shared" si="7"/>
        <v>0</v>
      </c>
      <c r="O42" s="1865"/>
      <c r="P42" s="1865"/>
      <c r="Q42" s="1865"/>
      <c r="R42" s="1865">
        <f>SUM($D$19:D42)+SUM($N$19:N42)</f>
        <v>0</v>
      </c>
      <c r="T42" s="397">
        <v>10</v>
      </c>
    </row>
    <row r="43" spans="2:20" ht="15.5">
      <c r="B43" s="1309">
        <f t="shared" si="6"/>
        <v>44136</v>
      </c>
      <c r="C43" s="1275"/>
      <c r="D43" s="1865">
        <v>0</v>
      </c>
      <c r="E43" s="1866"/>
      <c r="F43" s="1865">
        <f t="shared" si="8"/>
        <v>0</v>
      </c>
      <c r="G43" s="1865"/>
      <c r="H43" s="1865">
        <f>$H$41+SUM($N$39:$N$41)</f>
        <v>0</v>
      </c>
      <c r="I43" s="1865"/>
      <c r="J43" s="1865">
        <f>F43+H43</f>
        <v>0</v>
      </c>
      <c r="K43" s="1866"/>
      <c r="L43" s="1312">
        <f>+'SWT WS Q Interest Rate'!E35</f>
        <v>3.8999999999999998E-3</v>
      </c>
      <c r="M43" s="1313"/>
      <c r="N43" s="1865">
        <f t="shared" si="7"/>
        <v>0</v>
      </c>
      <c r="O43" s="1865"/>
      <c r="P43" s="1865"/>
      <c r="Q43" s="1865"/>
      <c r="R43" s="1865">
        <f>SUM($D$19:D43)+SUM($N$19:N43)</f>
        <v>0</v>
      </c>
      <c r="T43" s="397">
        <v>11</v>
      </c>
    </row>
    <row r="44" spans="2:20" ht="15.5">
      <c r="B44" s="1309">
        <f t="shared" si="6"/>
        <v>44166</v>
      </c>
      <c r="C44" s="1275"/>
      <c r="D44" s="1865">
        <v>0</v>
      </c>
      <c r="E44" s="1866"/>
      <c r="F44" s="1865">
        <f>D43+F43</f>
        <v>0</v>
      </c>
      <c r="G44" s="1865"/>
      <c r="H44" s="1865">
        <f>$H$41+SUM($N$39:$N$41)</f>
        <v>0</v>
      </c>
      <c r="I44" s="1865"/>
      <c r="J44" s="1865">
        <f>F44+H44</f>
        <v>0</v>
      </c>
      <c r="K44" s="1866"/>
      <c r="L44" s="1312">
        <f>+'SWT WS Q Interest Rate'!E36</f>
        <v>3.8999999999999998E-3</v>
      </c>
      <c r="M44" s="1313"/>
      <c r="N44" s="1865">
        <f t="shared" si="7"/>
        <v>0</v>
      </c>
      <c r="O44" s="1867"/>
      <c r="P44" s="1865"/>
      <c r="Q44" s="1865"/>
      <c r="R44" s="1865">
        <f>SUM($D$19:D44)+SUM($N$19:N44)</f>
        <v>0</v>
      </c>
      <c r="T44" s="397">
        <v>12</v>
      </c>
    </row>
    <row r="45" spans="2:20" ht="15.5">
      <c r="B45" s="1275"/>
      <c r="C45" s="1275"/>
      <c r="D45" s="1865"/>
      <c r="E45" s="1292"/>
      <c r="F45" s="1865"/>
      <c r="G45" s="1865"/>
      <c r="H45" s="1865"/>
      <c r="I45" s="1865"/>
      <c r="J45" s="1865"/>
      <c r="K45" s="1292"/>
      <c r="L45" s="1294"/>
      <c r="M45" s="1275"/>
      <c r="N45" s="1870"/>
      <c r="O45" s="1870"/>
      <c r="P45" s="1865"/>
      <c r="Q45" s="1865"/>
      <c r="R45" s="1865"/>
      <c r="T45" s="1871"/>
    </row>
    <row r="46" spans="2:20" ht="15.5">
      <c r="B46" s="1319" t="s">
        <v>699</v>
      </c>
      <c r="C46" s="1275"/>
      <c r="D46" s="1865"/>
      <c r="E46" s="1866"/>
      <c r="F46" s="1865"/>
      <c r="G46" s="1865"/>
      <c r="H46" s="1865"/>
      <c r="I46" s="1865"/>
      <c r="J46" s="1865"/>
      <c r="K46" s="1866"/>
      <c r="L46" s="1294"/>
      <c r="M46" s="1275"/>
      <c r="N46" s="1872"/>
      <c r="O46" s="1872"/>
      <c r="P46" s="1865"/>
      <c r="Q46" s="1865"/>
      <c r="R46" s="1865"/>
    </row>
    <row r="47" spans="2:20" ht="15.5">
      <c r="B47" s="1321" t="s">
        <v>417</v>
      </c>
      <c r="C47" s="1275"/>
      <c r="D47" s="1865"/>
      <c r="E47" s="1866"/>
      <c r="F47" s="1865"/>
      <c r="G47" s="1865"/>
      <c r="H47" s="1865"/>
      <c r="I47" s="1865"/>
      <c r="J47" s="1865"/>
      <c r="K47" s="1866"/>
      <c r="L47" s="1294"/>
      <c r="M47" s="1275"/>
      <c r="N47" s="1872"/>
      <c r="O47" s="1872"/>
      <c r="P47" s="1865"/>
      <c r="Q47" s="1865"/>
      <c r="R47" s="1865"/>
    </row>
    <row r="48" spans="2:20" ht="15.5">
      <c r="B48" s="1309">
        <f t="shared" ref="B48:B59" si="10">DATE($J$11,T48,1)</f>
        <v>44197</v>
      </c>
      <c r="C48" s="1275"/>
      <c r="D48" s="1865">
        <v>0</v>
      </c>
      <c r="E48" s="1322"/>
      <c r="F48" s="1865">
        <f>D44+F44</f>
        <v>0</v>
      </c>
      <c r="G48" s="1868"/>
      <c r="H48" s="1865">
        <f>$H$44+SUM($N$42:$N$44)</f>
        <v>0</v>
      </c>
      <c r="I48" s="1865"/>
      <c r="J48" s="1865">
        <f>F48+H48</f>
        <v>0</v>
      </c>
      <c r="K48" s="1292"/>
      <c r="L48" s="1312">
        <f>+'SWT WS Q Interest Rate'!$E$39</f>
        <v>3.9583333333333337E-3</v>
      </c>
      <c r="M48" s="1275"/>
      <c r="N48" s="1865">
        <f t="shared" ref="N48:N59" si="11">J48*L48</f>
        <v>0</v>
      </c>
      <c r="O48" s="1865"/>
      <c r="P48" s="1865">
        <f>PMT(L48,12,$R$44)</f>
        <v>0</v>
      </c>
      <c r="Q48" s="1865"/>
      <c r="R48" s="1865">
        <f>SUM($D$19:D48)+SUM($N$19:N48)+SUM($P$48:P48)</f>
        <v>0</v>
      </c>
      <c r="T48" s="397">
        <v>1</v>
      </c>
    </row>
    <row r="49" spans="2:20" ht="15.5">
      <c r="B49" s="1309">
        <f t="shared" si="10"/>
        <v>44228</v>
      </c>
      <c r="C49" s="1275"/>
      <c r="D49" s="1865">
        <v>0</v>
      </c>
      <c r="E49" s="1292"/>
      <c r="F49" s="1865">
        <f>D48+F48</f>
        <v>0</v>
      </c>
      <c r="G49" s="1865"/>
      <c r="H49" s="1865">
        <f>$H$44+SUM($N$42:$N$44)</f>
        <v>0</v>
      </c>
      <c r="I49" s="1865"/>
      <c r="J49" s="1865">
        <f>R48</f>
        <v>0</v>
      </c>
      <c r="K49" s="1292"/>
      <c r="L49" s="1312">
        <f>+'SWT WS Q Interest Rate'!$E$39</f>
        <v>3.9583333333333337E-3</v>
      </c>
      <c r="M49" s="1275"/>
      <c r="N49" s="1865">
        <f t="shared" si="11"/>
        <v>0</v>
      </c>
      <c r="O49" s="1865"/>
      <c r="P49" s="1865">
        <f t="shared" ref="P49:P59" si="12">PMT(L49,12,$R$44)</f>
        <v>0</v>
      </c>
      <c r="Q49" s="1865"/>
      <c r="R49" s="1865">
        <f>SUM($D$19:D49)+SUM($N$19:N49)+SUM($P$48:P49)</f>
        <v>0</v>
      </c>
      <c r="T49" s="397">
        <v>2</v>
      </c>
    </row>
    <row r="50" spans="2:20" ht="15.5">
      <c r="B50" s="1309">
        <f t="shared" si="10"/>
        <v>44256</v>
      </c>
      <c r="C50" s="1275"/>
      <c r="D50" s="1865">
        <v>0</v>
      </c>
      <c r="E50" s="1292"/>
      <c r="F50" s="1865">
        <f t="shared" ref="F50:F58" si="13">D49+F49</f>
        <v>0</v>
      </c>
      <c r="G50" s="1865"/>
      <c r="H50" s="1865">
        <f>$H$44+SUM($N$42:$N$44)</f>
        <v>0</v>
      </c>
      <c r="I50" s="1865"/>
      <c r="J50" s="1865">
        <f t="shared" ref="J50:J59" si="14">R49</f>
        <v>0</v>
      </c>
      <c r="K50" s="1292"/>
      <c r="L50" s="1312">
        <f>+'SWT WS Q Interest Rate'!$E$39</f>
        <v>3.9583333333333337E-3</v>
      </c>
      <c r="M50" s="1275"/>
      <c r="N50" s="1865">
        <f t="shared" si="11"/>
        <v>0</v>
      </c>
      <c r="O50" s="1865"/>
      <c r="P50" s="1865">
        <f t="shared" si="12"/>
        <v>0</v>
      </c>
      <c r="Q50" s="1865"/>
      <c r="R50" s="1865">
        <f>SUM($D$19:D50)+SUM($N$19:N50)+SUM($P$48:P50)</f>
        <v>0</v>
      </c>
      <c r="T50" s="397">
        <v>3</v>
      </c>
    </row>
    <row r="51" spans="2:20" ht="15.5">
      <c r="B51" s="1309">
        <f t="shared" si="10"/>
        <v>44287</v>
      </c>
      <c r="C51" s="1275"/>
      <c r="D51" s="1865">
        <v>0</v>
      </c>
      <c r="E51" s="1292"/>
      <c r="F51" s="1865">
        <f t="shared" si="13"/>
        <v>0</v>
      </c>
      <c r="G51" s="1865"/>
      <c r="H51" s="1865">
        <f>$H$50+SUM($N$48:$N$50)</f>
        <v>0</v>
      </c>
      <c r="I51" s="1865"/>
      <c r="J51" s="1865">
        <f t="shared" si="14"/>
        <v>0</v>
      </c>
      <c r="K51" s="1292"/>
      <c r="L51" s="1312">
        <f>+'SWT WS Q Interest Rate'!$E$39</f>
        <v>3.9583333333333337E-3</v>
      </c>
      <c r="M51" s="1275"/>
      <c r="N51" s="1865">
        <f t="shared" si="11"/>
        <v>0</v>
      </c>
      <c r="O51" s="1865"/>
      <c r="P51" s="1865">
        <f t="shared" si="12"/>
        <v>0</v>
      </c>
      <c r="Q51" s="1865"/>
      <c r="R51" s="1865">
        <f>SUM($D$19:D51)+SUM($N$19:N51)+SUM($P$48:P51)</f>
        <v>0</v>
      </c>
      <c r="T51" s="397">
        <v>4</v>
      </c>
    </row>
    <row r="52" spans="2:20" ht="15.5">
      <c r="B52" s="1309">
        <f t="shared" si="10"/>
        <v>44317</v>
      </c>
      <c r="C52" s="1275"/>
      <c r="D52" s="1865">
        <v>0</v>
      </c>
      <c r="E52" s="1292"/>
      <c r="F52" s="1865">
        <f t="shared" si="13"/>
        <v>0</v>
      </c>
      <c r="G52" s="1865"/>
      <c r="H52" s="1865">
        <f>$H$50+SUM($N$48:$N$50)</f>
        <v>0</v>
      </c>
      <c r="I52" s="1865"/>
      <c r="J52" s="1865">
        <f t="shared" si="14"/>
        <v>0</v>
      </c>
      <c r="K52" s="1292"/>
      <c r="L52" s="1312">
        <f>+'SWT WS Q Interest Rate'!$E$39</f>
        <v>3.9583333333333337E-3</v>
      </c>
      <c r="M52" s="1275"/>
      <c r="N52" s="1865">
        <f t="shared" si="11"/>
        <v>0</v>
      </c>
      <c r="O52" s="1865"/>
      <c r="P52" s="1865">
        <f t="shared" si="12"/>
        <v>0</v>
      </c>
      <c r="Q52" s="1865"/>
      <c r="R52" s="1865">
        <f>SUM($D$19:D52)+SUM($N$19:N52)+SUM($P$48:P52)</f>
        <v>0</v>
      </c>
      <c r="T52" s="397">
        <v>5</v>
      </c>
    </row>
    <row r="53" spans="2:20" ht="15.5">
      <c r="B53" s="1309">
        <f t="shared" si="10"/>
        <v>44348</v>
      </c>
      <c r="C53" s="407"/>
      <c r="D53" s="1865">
        <v>0</v>
      </c>
      <c r="E53" s="1292"/>
      <c r="F53" s="1865">
        <f t="shared" si="13"/>
        <v>0</v>
      </c>
      <c r="G53" s="1865"/>
      <c r="H53" s="1865">
        <f>$H$50+SUM($N$48:$N$50)</f>
        <v>0</v>
      </c>
      <c r="I53" s="1865"/>
      <c r="J53" s="1865">
        <f t="shared" si="14"/>
        <v>0</v>
      </c>
      <c r="K53" s="1292"/>
      <c r="L53" s="1312">
        <f>+'SWT WS Q Interest Rate'!$E$39</f>
        <v>3.9583333333333337E-3</v>
      </c>
      <c r="M53" s="1275"/>
      <c r="N53" s="1865">
        <f t="shared" si="11"/>
        <v>0</v>
      </c>
      <c r="O53" s="1865"/>
      <c r="P53" s="1865">
        <f t="shared" si="12"/>
        <v>0</v>
      </c>
      <c r="Q53" s="1865"/>
      <c r="R53" s="1865">
        <f>SUM($D$19:D53)+SUM($N$19:N53)+SUM($P$48:P53)</f>
        <v>0</v>
      </c>
      <c r="T53" s="397">
        <v>6</v>
      </c>
    </row>
    <row r="54" spans="2:20" ht="15.5">
      <c r="B54" s="1309">
        <f t="shared" si="10"/>
        <v>44378</v>
      </c>
      <c r="C54" s="1275"/>
      <c r="D54" s="1865">
        <v>0</v>
      </c>
      <c r="E54" s="1292"/>
      <c r="F54" s="1865">
        <f t="shared" si="13"/>
        <v>0</v>
      </c>
      <c r="G54" s="1865"/>
      <c r="H54" s="1865">
        <f>$H$53+SUM($N$51:$N$53)</f>
        <v>0</v>
      </c>
      <c r="I54" s="1865"/>
      <c r="J54" s="1865">
        <f t="shared" si="14"/>
        <v>0</v>
      </c>
      <c r="K54" s="1292"/>
      <c r="L54" s="1312">
        <f>+'SWT WS Q Interest Rate'!$E$39</f>
        <v>3.9583333333333337E-3</v>
      </c>
      <c r="M54" s="1275"/>
      <c r="N54" s="1865">
        <f t="shared" si="11"/>
        <v>0</v>
      </c>
      <c r="O54" s="1865"/>
      <c r="P54" s="1865">
        <f t="shared" si="12"/>
        <v>0</v>
      </c>
      <c r="Q54" s="1865"/>
      <c r="R54" s="1865">
        <f>SUM($D$19:D54)+SUM($N$19:N54)+SUM($P$48:P54)</f>
        <v>0</v>
      </c>
      <c r="T54" s="397">
        <v>7</v>
      </c>
    </row>
    <row r="55" spans="2:20" ht="15.5">
      <c r="B55" s="1309">
        <f t="shared" si="10"/>
        <v>44409</v>
      </c>
      <c r="C55" s="1275"/>
      <c r="D55" s="1865">
        <v>0</v>
      </c>
      <c r="E55" s="1292"/>
      <c r="F55" s="1865">
        <f t="shared" si="13"/>
        <v>0</v>
      </c>
      <c r="G55" s="1865"/>
      <c r="H55" s="1865">
        <f>$H$53+SUM($N$51:$N$53)</f>
        <v>0</v>
      </c>
      <c r="I55" s="1865"/>
      <c r="J55" s="1865">
        <f t="shared" si="14"/>
        <v>0</v>
      </c>
      <c r="K55" s="1292"/>
      <c r="L55" s="1312">
        <f>+'SWT WS Q Interest Rate'!$E$39</f>
        <v>3.9583333333333337E-3</v>
      </c>
      <c r="M55" s="1275"/>
      <c r="N55" s="1865">
        <f t="shared" si="11"/>
        <v>0</v>
      </c>
      <c r="O55" s="1865"/>
      <c r="P55" s="1865">
        <f t="shared" si="12"/>
        <v>0</v>
      </c>
      <c r="Q55" s="1865"/>
      <c r="R55" s="1865">
        <f>SUM($D$19:D55)+SUM($N$19:N55)+SUM($P$48:P55)</f>
        <v>0</v>
      </c>
      <c r="T55" s="397">
        <v>8</v>
      </c>
    </row>
    <row r="56" spans="2:20" ht="15.5">
      <c r="B56" s="1309">
        <f t="shared" si="10"/>
        <v>44440</v>
      </c>
      <c r="C56" s="1275"/>
      <c r="D56" s="1865">
        <v>0</v>
      </c>
      <c r="E56" s="1292"/>
      <c r="F56" s="1865">
        <f t="shared" si="13"/>
        <v>0</v>
      </c>
      <c r="G56" s="1865"/>
      <c r="H56" s="1865">
        <f>$H$53+SUM($N$51:$N$53)</f>
        <v>0</v>
      </c>
      <c r="I56" s="1865"/>
      <c r="J56" s="1865">
        <f t="shared" si="14"/>
        <v>0</v>
      </c>
      <c r="K56" s="1292"/>
      <c r="L56" s="1312">
        <f>+'SWT WS Q Interest Rate'!$E$39</f>
        <v>3.9583333333333337E-3</v>
      </c>
      <c r="M56" s="1275"/>
      <c r="N56" s="1865">
        <f t="shared" si="11"/>
        <v>0</v>
      </c>
      <c r="O56" s="1865"/>
      <c r="P56" s="1865">
        <f t="shared" si="12"/>
        <v>0</v>
      </c>
      <c r="Q56" s="1865"/>
      <c r="R56" s="1865">
        <f>SUM($D$19:D56)+SUM($N$19:N56)+SUM($P$48:P56)</f>
        <v>0</v>
      </c>
      <c r="T56" s="397">
        <v>9</v>
      </c>
    </row>
    <row r="57" spans="2:20" ht="15.5">
      <c r="B57" s="1309">
        <f t="shared" si="10"/>
        <v>44470</v>
      </c>
      <c r="C57" s="1275"/>
      <c r="D57" s="1865">
        <v>0</v>
      </c>
      <c r="E57" s="1292"/>
      <c r="F57" s="1865">
        <f t="shared" si="13"/>
        <v>0</v>
      </c>
      <c r="G57" s="1865"/>
      <c r="H57" s="1865">
        <f>$H$56+SUM($N$54:$N$56)</f>
        <v>0</v>
      </c>
      <c r="I57" s="1865"/>
      <c r="J57" s="1865">
        <f t="shared" si="14"/>
        <v>0</v>
      </c>
      <c r="K57" s="1292"/>
      <c r="L57" s="1312">
        <f>+'SWT WS Q Interest Rate'!$E$39</f>
        <v>3.9583333333333337E-3</v>
      </c>
      <c r="M57" s="1275"/>
      <c r="N57" s="1865">
        <f t="shared" si="11"/>
        <v>0</v>
      </c>
      <c r="O57" s="1865"/>
      <c r="P57" s="1865">
        <f t="shared" si="12"/>
        <v>0</v>
      </c>
      <c r="Q57" s="1865"/>
      <c r="R57" s="1865">
        <f>SUM($D$19:D57)+SUM($N$19:N57)+SUM($P$48:P57)</f>
        <v>0</v>
      </c>
      <c r="T57" s="397">
        <v>10</v>
      </c>
    </row>
    <row r="58" spans="2:20" ht="15.5">
      <c r="B58" s="1309">
        <f t="shared" si="10"/>
        <v>44501</v>
      </c>
      <c r="C58" s="1275"/>
      <c r="D58" s="1865">
        <v>0</v>
      </c>
      <c r="E58" s="1292"/>
      <c r="F58" s="1865">
        <f t="shared" si="13"/>
        <v>0</v>
      </c>
      <c r="G58" s="1865"/>
      <c r="H58" s="1865">
        <f>$H$56+SUM($N$54:$N$56)</f>
        <v>0</v>
      </c>
      <c r="I58" s="1865"/>
      <c r="J58" s="1865">
        <f t="shared" si="14"/>
        <v>0</v>
      </c>
      <c r="K58" s="1292"/>
      <c r="L58" s="1312">
        <f>+'SWT WS Q Interest Rate'!$E$39</f>
        <v>3.9583333333333337E-3</v>
      </c>
      <c r="M58" s="1275"/>
      <c r="N58" s="1865">
        <f t="shared" si="11"/>
        <v>0</v>
      </c>
      <c r="O58" s="1865"/>
      <c r="P58" s="1865">
        <f t="shared" si="12"/>
        <v>0</v>
      </c>
      <c r="Q58" s="1865"/>
      <c r="R58" s="1865">
        <f>SUM($D$19:D58)+SUM($N$19:N58)+SUM($P$48:P58)</f>
        <v>0</v>
      </c>
      <c r="S58" s="1323"/>
      <c r="T58" s="397">
        <v>11</v>
      </c>
    </row>
    <row r="59" spans="2:20" ht="16" thickBot="1">
      <c r="B59" s="1324">
        <f t="shared" si="10"/>
        <v>44531</v>
      </c>
      <c r="C59" s="1325"/>
      <c r="D59" s="1873">
        <v>0</v>
      </c>
      <c r="E59" s="1295"/>
      <c r="F59" s="1873">
        <f>D58+F58</f>
        <v>0</v>
      </c>
      <c r="G59" s="1873"/>
      <c r="H59" s="1873">
        <f>$H$56+SUM($N$54:$N$56)</f>
        <v>0</v>
      </c>
      <c r="I59" s="1873"/>
      <c r="J59" s="1873">
        <f t="shared" si="14"/>
        <v>0</v>
      </c>
      <c r="K59" s="1295"/>
      <c r="L59" s="1327">
        <f>+'SWT WS Q Interest Rate'!$E$39</f>
        <v>3.9583333333333337E-3</v>
      </c>
      <c r="M59" s="1325"/>
      <c r="N59" s="1873">
        <f t="shared" si="11"/>
        <v>0</v>
      </c>
      <c r="O59" s="1873"/>
      <c r="P59" s="1873">
        <f t="shared" si="12"/>
        <v>0</v>
      </c>
      <c r="Q59" s="1873"/>
      <c r="R59" s="1873">
        <f>SUM($D$19:D59)+SUM($N$19:N59)+SUM($P$48:P59)</f>
        <v>0</v>
      </c>
      <c r="T59" s="397">
        <v>12</v>
      </c>
    </row>
    <row r="60" spans="2:20" ht="15.5">
      <c r="B60" s="1275"/>
      <c r="C60" s="1275"/>
      <c r="D60" s="1292"/>
      <c r="E60" s="1292"/>
      <c r="F60" s="1292"/>
      <c r="G60" s="1292"/>
      <c r="H60" s="1292"/>
      <c r="I60" s="1292"/>
      <c r="J60" s="1292"/>
      <c r="K60" s="1292"/>
      <c r="L60" s="1275"/>
      <c r="M60" s="1275"/>
      <c r="N60" s="1865"/>
      <c r="O60" s="1865"/>
      <c r="P60" s="1865"/>
      <c r="Q60" s="1865"/>
      <c r="R60" s="1865"/>
    </row>
    <row r="61" spans="2:20" ht="15.5">
      <c r="B61" s="407"/>
      <c r="C61" s="407"/>
      <c r="D61" s="407"/>
      <c r="E61" s="407"/>
      <c r="F61" s="407"/>
      <c r="G61" s="407"/>
      <c r="H61" s="407"/>
      <c r="I61" s="407"/>
      <c r="J61" s="407"/>
      <c r="K61" s="407"/>
      <c r="L61" s="407"/>
      <c r="M61" s="407"/>
      <c r="N61" s="1869"/>
      <c r="O61" s="1869"/>
      <c r="P61" s="1869"/>
      <c r="Q61" s="1869"/>
      <c r="R61" s="1869"/>
    </row>
    <row r="62" spans="2:20" ht="15.5">
      <c r="B62" s="1328" t="s">
        <v>700</v>
      </c>
      <c r="C62" s="1329"/>
      <c r="D62" s="1329"/>
      <c r="E62" s="1329"/>
      <c r="F62" s="1329"/>
      <c r="G62" s="1329"/>
      <c r="H62" s="1329"/>
      <c r="I62" s="1329"/>
      <c r="J62" s="1329"/>
      <c r="K62" s="1329"/>
      <c r="L62" s="1329"/>
      <c r="M62" s="1329"/>
      <c r="N62" s="1874"/>
      <c r="O62" s="1874"/>
      <c r="P62" s="1875">
        <f>(SUM(P48:P59)*-1)</f>
        <v>0</v>
      </c>
      <c r="Q62" s="1869"/>
      <c r="R62" s="1869"/>
    </row>
    <row r="63" spans="2:20" ht="15.5">
      <c r="B63" s="1332" t="s">
        <v>701</v>
      </c>
      <c r="C63" s="1333"/>
      <c r="D63" s="1333"/>
      <c r="E63" s="1333"/>
      <c r="F63" s="1333"/>
      <c r="G63" s="1333"/>
      <c r="H63" s="1333"/>
      <c r="I63" s="1333"/>
      <c r="J63" s="1333"/>
      <c r="K63" s="1333"/>
      <c r="L63" s="1333"/>
      <c r="M63" s="1333"/>
      <c r="N63" s="1876"/>
      <c r="O63" s="1876"/>
      <c r="P63" s="1867">
        <f>+F11</f>
        <v>0</v>
      </c>
      <c r="Q63" s="1869"/>
      <c r="R63" s="1869"/>
    </row>
    <row r="64" spans="2:20" ht="15.5">
      <c r="B64" s="1335" t="s">
        <v>702</v>
      </c>
      <c r="C64" s="1336"/>
      <c r="D64" s="1336"/>
      <c r="E64" s="1336"/>
      <c r="F64" s="1336"/>
      <c r="G64" s="1336"/>
      <c r="H64" s="1336"/>
      <c r="I64" s="1336"/>
      <c r="J64" s="1336"/>
      <c r="K64" s="1336"/>
      <c r="L64" s="1336"/>
      <c r="M64" s="1336"/>
      <c r="N64" s="1877"/>
      <c r="O64" s="1877"/>
      <c r="P64" s="1878">
        <f>+(P62-P63)</f>
        <v>0</v>
      </c>
      <c r="Q64" s="1869"/>
      <c r="R64" s="1869"/>
    </row>
    <row r="65" spans="2:18">
      <c r="B65" s="279"/>
      <c r="C65" s="279"/>
      <c r="D65" s="279"/>
      <c r="E65" s="279"/>
      <c r="F65" s="279"/>
      <c r="G65" s="279"/>
      <c r="H65" s="279"/>
      <c r="I65" s="279"/>
      <c r="J65" s="279"/>
      <c r="K65" s="279"/>
      <c r="L65" s="279"/>
      <c r="M65" s="279"/>
      <c r="N65" s="279"/>
      <c r="O65" s="279"/>
      <c r="P65" s="279"/>
      <c r="Q65" s="279"/>
      <c r="R65" s="279"/>
    </row>
    <row r="66" spans="2:18" ht="15.75" customHeight="1">
      <c r="B66" s="2066" t="s">
        <v>907</v>
      </c>
      <c r="C66" s="2066"/>
      <c r="D66" s="2066"/>
      <c r="E66" s="2066"/>
      <c r="F66" s="2066"/>
      <c r="G66" s="2066"/>
      <c r="H66" s="2066"/>
      <c r="I66" s="2066"/>
      <c r="J66" s="2066"/>
      <c r="K66" s="2066"/>
      <c r="L66" s="2066"/>
      <c r="M66" s="2066"/>
      <c r="N66" s="2066"/>
      <c r="O66" s="2066"/>
      <c r="P66" s="2066"/>
      <c r="Q66" s="1339"/>
      <c r="R66" s="1339"/>
    </row>
    <row r="67" spans="2:18" ht="12.75" customHeight="1">
      <c r="B67" s="2066"/>
      <c r="C67" s="2066"/>
      <c r="D67" s="2066"/>
      <c r="E67" s="2066"/>
      <c r="F67" s="2066"/>
      <c r="G67" s="2066"/>
      <c r="H67" s="2066"/>
      <c r="I67" s="2066"/>
      <c r="J67" s="2066"/>
      <c r="K67" s="2066"/>
      <c r="L67" s="2066"/>
      <c r="M67" s="2066"/>
      <c r="N67" s="2066"/>
      <c r="O67" s="2066"/>
      <c r="P67" s="2066"/>
      <c r="Q67" s="279"/>
      <c r="R67" s="279"/>
    </row>
    <row r="68" spans="2:18" ht="38.25" customHeight="1">
      <c r="B68" s="2066"/>
      <c r="C68" s="2066"/>
      <c r="D68" s="2066"/>
      <c r="E68" s="2066"/>
      <c r="F68" s="2066"/>
      <c r="G68" s="2066"/>
      <c r="H68" s="2066"/>
      <c r="I68" s="2066"/>
      <c r="J68" s="2066"/>
      <c r="K68" s="2066"/>
      <c r="L68" s="2066"/>
      <c r="M68" s="2066"/>
      <c r="N68" s="2066"/>
      <c r="O68" s="2066"/>
      <c r="P68" s="2066"/>
      <c r="Q68" s="1879"/>
      <c r="R68" s="1879"/>
    </row>
    <row r="70" spans="2:18" ht="22.5" customHeight="1">
      <c r="B70" s="2063" t="s">
        <v>908</v>
      </c>
      <c r="C70" s="2063"/>
      <c r="D70" s="2063"/>
      <c r="E70" s="2063"/>
      <c r="F70" s="2063"/>
      <c r="G70" s="2063"/>
      <c r="H70" s="2063"/>
      <c r="I70" s="2063"/>
      <c r="J70" s="2063"/>
      <c r="K70" s="2063"/>
      <c r="L70" s="2063"/>
      <c r="M70" s="2063"/>
      <c r="N70" s="2063"/>
      <c r="O70" s="2063"/>
      <c r="P70" s="2063"/>
    </row>
    <row r="73" spans="2:18" ht="15.5">
      <c r="B73" s="1305"/>
    </row>
  </sheetData>
  <mergeCells count="6">
    <mergeCell ref="B70:P70"/>
    <mergeCell ref="B4:R4"/>
    <mergeCell ref="B5:R5"/>
    <mergeCell ref="B6:R6"/>
    <mergeCell ref="B7:R7"/>
    <mergeCell ref="B66:P68"/>
  </mergeCells>
  <pageMargins left="0.7" right="0.7" top="0.75" bottom="0.75" header="0.3" footer="0.3"/>
  <pageSetup scale="53" fitToHeight="0" orientation="portrait" r:id="rId1"/>
  <headerFooter>
    <oddHeader>&amp;RAEP - SPP Transco Formula Rate
TCOS - WS N
Page: &amp;P of &amp;N</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zoomScaleNormal="100" workbookViewId="0">
      <selection activeCell="J30" sqref="J30"/>
    </sheetView>
  </sheetViews>
  <sheetFormatPr defaultColWidth="9.1796875" defaultRowHeight="12.5"/>
  <cols>
    <col min="1" max="1" width="1.7265625" style="397" customWidth="1"/>
    <col min="2" max="2" width="25.1796875" style="397" customWidth="1"/>
    <col min="3" max="3" width="1.7265625" style="397" customWidth="1"/>
    <col min="4" max="4" width="22.54296875" style="397" customWidth="1"/>
    <col min="5" max="5" width="1.7265625" style="397" customWidth="1"/>
    <col min="6" max="6" width="24.81640625" style="397" customWidth="1"/>
    <col min="7" max="7" width="1.7265625" style="397" customWidth="1"/>
    <col min="8" max="8" width="21.453125" style="397" customWidth="1"/>
    <col min="9" max="9" width="1.7265625" style="397" customWidth="1"/>
    <col min="10" max="10" width="21" style="397" customWidth="1"/>
    <col min="11" max="11" width="1.7265625" style="397" customWidth="1"/>
    <col min="12" max="12" width="18.26953125" style="397" customWidth="1"/>
    <col min="13" max="13" width="1.7265625" style="397" customWidth="1"/>
    <col min="14" max="14" width="17" style="397" customWidth="1"/>
    <col min="15" max="15" width="1.7265625" style="397" customWidth="1"/>
    <col min="16" max="16" width="18.1796875" style="397" customWidth="1"/>
    <col min="17" max="17" width="7.7265625" style="397" bestFit="1" customWidth="1"/>
    <col min="18" max="18" width="3" style="397" hidden="1" customWidth="1"/>
    <col min="19" max="19" width="9.1796875" style="397"/>
    <col min="20" max="20" width="3" style="397" bestFit="1" customWidth="1"/>
    <col min="21" max="16384" width="9.1796875" style="397"/>
  </cols>
  <sheetData>
    <row r="1" spans="1:18" ht="15.5">
      <c r="A1" s="1272"/>
    </row>
    <row r="2" spans="1:18" ht="15.5">
      <c r="A2" s="1273"/>
    </row>
    <row r="3" spans="1:18" ht="15.5">
      <c r="A3" s="1273"/>
    </row>
    <row r="4" spans="1:18" ht="15.5">
      <c r="B4" s="2064" t="str">
        <f>+'SWT TCOS'!F4</f>
        <v xml:space="preserve">AEP West SPP Member Transmission Companies </v>
      </c>
      <c r="C4" s="2064"/>
      <c r="D4" s="2064"/>
      <c r="E4" s="2064"/>
      <c r="F4" s="2064"/>
      <c r="G4" s="2064"/>
      <c r="H4" s="2064"/>
      <c r="I4" s="2064"/>
      <c r="J4" s="2064"/>
      <c r="K4" s="2064"/>
      <c r="L4" s="2064"/>
      <c r="M4" s="2064"/>
      <c r="N4" s="2064"/>
      <c r="O4" s="2064"/>
      <c r="P4" s="2064"/>
    </row>
    <row r="5" spans="1:18" ht="15.5">
      <c r="B5" s="2065" t="str">
        <f>+'SWT WS A-1 - Plant'!A3</f>
        <v xml:space="preserve">Actual / Projected 2019 Rate Year Cost of Service Formula Rate </v>
      </c>
      <c r="C5" s="2065"/>
      <c r="D5" s="2065"/>
      <c r="E5" s="2065"/>
      <c r="F5" s="2065"/>
      <c r="G5" s="2065"/>
      <c r="H5" s="2065"/>
      <c r="I5" s="2065"/>
      <c r="J5" s="2065"/>
      <c r="K5" s="2065"/>
      <c r="L5" s="2065"/>
      <c r="M5" s="2065"/>
      <c r="N5" s="2065"/>
      <c r="O5" s="2065"/>
      <c r="P5" s="2065"/>
    </row>
    <row r="6" spans="1:18" ht="15.5">
      <c r="B6" s="2065" t="s">
        <v>703</v>
      </c>
      <c r="C6" s="2065"/>
      <c r="D6" s="2065"/>
      <c r="E6" s="2065"/>
      <c r="F6" s="2065"/>
      <c r="G6" s="2065"/>
      <c r="H6" s="2065"/>
      <c r="I6" s="2065"/>
      <c r="J6" s="2065"/>
      <c r="K6" s="2065"/>
      <c r="L6" s="2065"/>
      <c r="M6" s="2065"/>
      <c r="N6" s="2065"/>
      <c r="O6" s="2065"/>
      <c r="P6" s="2065"/>
    </row>
    <row r="7" spans="1:18" ht="15.5">
      <c r="B7" s="2025" t="str">
        <f>+'SWT TCOS'!F8</f>
        <v>AEP SOUTHWESTERN TRANSMISSION COMPANY</v>
      </c>
      <c r="C7" s="2025"/>
      <c r="D7" s="2025"/>
      <c r="E7" s="2025"/>
      <c r="F7" s="2025"/>
      <c r="G7" s="2025"/>
      <c r="H7" s="2025"/>
      <c r="I7" s="2025"/>
      <c r="J7" s="2025"/>
      <c r="K7" s="2025"/>
      <c r="L7" s="2025"/>
      <c r="M7" s="2025"/>
      <c r="N7" s="2025"/>
      <c r="O7" s="2025"/>
      <c r="P7" s="2025"/>
      <c r="Q7" s="1341"/>
      <c r="R7" s="1341"/>
    </row>
    <row r="8" spans="1:18">
      <c r="B8" s="279"/>
      <c r="C8" s="279"/>
      <c r="D8" s="279"/>
      <c r="E8" s="279"/>
      <c r="F8" s="279"/>
      <c r="G8" s="279"/>
      <c r="H8" s="279"/>
      <c r="I8" s="279"/>
      <c r="J8" s="279"/>
      <c r="K8" s="279"/>
      <c r="L8" s="279"/>
      <c r="M8" s="279"/>
      <c r="N8" s="279"/>
      <c r="O8" s="279"/>
      <c r="P8" s="279"/>
    </row>
    <row r="9" spans="1:18">
      <c r="B9" s="279"/>
      <c r="C9" s="279"/>
      <c r="D9" s="279"/>
      <c r="E9" s="279"/>
      <c r="F9" s="279"/>
      <c r="G9" s="279"/>
      <c r="H9" s="279"/>
      <c r="I9" s="279"/>
      <c r="J9" s="279"/>
      <c r="K9" s="279"/>
      <c r="L9" s="279"/>
      <c r="M9" s="279"/>
      <c r="N9" s="279"/>
      <c r="O9" s="279"/>
      <c r="P9" s="279"/>
    </row>
    <row r="10" spans="1:18" ht="16" thickBot="1">
      <c r="B10" s="1274"/>
      <c r="C10" s="1275"/>
      <c r="D10" s="1275"/>
      <c r="E10" s="1275"/>
      <c r="F10" s="1275"/>
      <c r="G10" s="1275"/>
      <c r="H10" s="1275"/>
      <c r="I10" s="1275"/>
      <c r="J10" s="1275"/>
      <c r="K10" s="1275"/>
      <c r="O10" s="1275"/>
      <c r="P10" s="1275"/>
    </row>
    <row r="11" spans="1:18" ht="51">
      <c r="B11" s="1276" t="str">
        <f>"True up Revenue Requirement For Year "&amp;J11&amp;" Available May, "&amp;J12</f>
        <v>True up Revenue Requirement For Year 2019 Available May, 2020</v>
      </c>
      <c r="C11" s="1275"/>
      <c r="D11" s="1276" t="s">
        <v>928</v>
      </c>
      <c r="E11" s="1277"/>
      <c r="F11" s="1278" t="s">
        <v>683</v>
      </c>
      <c r="G11" s="407"/>
      <c r="H11" s="1279" t="s">
        <v>684</v>
      </c>
      <c r="I11" s="1275"/>
      <c r="J11" s="1280">
        <f>+'SWT TCOS'!N2</f>
        <v>2019</v>
      </c>
      <c r="K11" s="1275"/>
      <c r="O11" s="407"/>
      <c r="P11" s="407"/>
    </row>
    <row r="12" spans="1:18" ht="15.5">
      <c r="B12" s="1281" t="s">
        <v>253</v>
      </c>
      <c r="C12" s="1275"/>
      <c r="D12" s="1281"/>
      <c r="E12" s="1277"/>
      <c r="F12" s="1282"/>
      <c r="G12" s="407"/>
      <c r="H12" s="1283" t="s">
        <v>685</v>
      </c>
      <c r="I12" s="1284"/>
      <c r="J12" s="1285">
        <f>J11+1</f>
        <v>2020</v>
      </c>
      <c r="O12" s="407"/>
      <c r="P12" s="407"/>
    </row>
    <row r="13" spans="1:18" ht="16" thickBot="1">
      <c r="B13" s="1286">
        <f>+'Zonal Rates'!M34</f>
        <v>100136.23796693773</v>
      </c>
      <c r="C13" s="1287" t="s">
        <v>686</v>
      </c>
      <c r="D13" s="1286">
        <v>67091.700000000012</v>
      </c>
      <c r="E13" s="1288" t="s">
        <v>687</v>
      </c>
      <c r="F13" s="1289">
        <f>IF(B13=0,0,D13-B13)</f>
        <v>-33044.537966937714</v>
      </c>
      <c r="G13" s="1290"/>
      <c r="H13" s="1291" t="s">
        <v>688</v>
      </c>
      <c r="I13" s="1292"/>
      <c r="J13" s="1293">
        <f>J12+1</f>
        <v>2021</v>
      </c>
      <c r="O13" s="407"/>
      <c r="P13" s="407"/>
    </row>
    <row r="14" spans="1:18" ht="15.5">
      <c r="B14" s="1292"/>
      <c r="C14" s="1294"/>
      <c r="D14" s="1292"/>
      <c r="E14" s="1292"/>
      <c r="F14" s="1292"/>
      <c r="G14" s="1292"/>
      <c r="H14" s="407"/>
      <c r="I14" s="407"/>
      <c r="O14" s="407"/>
      <c r="P14" s="407"/>
    </row>
    <row r="15" spans="1:18" ht="16" thickBot="1">
      <c r="B15" s="1295"/>
      <c r="C15" s="1296"/>
      <c r="D15" s="1295"/>
      <c r="E15" s="1295"/>
      <c r="F15" s="1295"/>
      <c r="G15" s="1295"/>
      <c r="H15" s="1295"/>
      <c r="I15" s="1295"/>
      <c r="J15" s="1295"/>
      <c r="K15" s="1295"/>
      <c r="L15" s="1295"/>
      <c r="M15" s="1295"/>
      <c r="N15" s="1298"/>
      <c r="O15" s="1298"/>
      <c r="P15" s="1298"/>
    </row>
    <row r="16" spans="1:18" ht="15.5">
      <c r="B16" s="1299"/>
      <c r="C16" s="1294"/>
      <c r="D16" s="1292"/>
      <c r="E16" s="1292"/>
      <c r="F16" s="1292"/>
      <c r="G16" s="1292"/>
      <c r="H16" s="1292"/>
      <c r="I16" s="1292"/>
      <c r="J16" s="1292"/>
      <c r="K16" s="1292"/>
      <c r="L16" s="1292"/>
      <c r="M16" s="1292"/>
      <c r="N16" s="407"/>
      <c r="O16" s="407"/>
      <c r="P16" s="407"/>
    </row>
    <row r="17" spans="2:18" ht="62">
      <c r="B17" s="1300" t="s">
        <v>689</v>
      </c>
      <c r="C17" s="1294"/>
      <c r="D17" s="1301" t="s">
        <v>690</v>
      </c>
      <c r="E17" s="1301"/>
      <c r="F17" s="1301" t="s">
        <v>691</v>
      </c>
      <c r="G17" s="1301"/>
      <c r="H17" s="1301" t="s">
        <v>692</v>
      </c>
      <c r="I17" s="1292"/>
      <c r="J17" s="1302" t="s">
        <v>693</v>
      </c>
      <c r="K17" s="1292"/>
      <c r="L17" s="1301" t="s">
        <v>910</v>
      </c>
      <c r="M17" s="1303"/>
      <c r="N17" s="1302" t="s">
        <v>694</v>
      </c>
      <c r="O17" s="1304"/>
      <c r="P17" s="1301" t="s">
        <v>696</v>
      </c>
    </row>
    <row r="18" spans="2:18" ht="15.5">
      <c r="B18" s="1305"/>
      <c r="C18" s="1294"/>
      <c r="D18" s="407"/>
      <c r="E18" s="407"/>
      <c r="F18" s="407"/>
      <c r="G18" s="407"/>
      <c r="H18" s="407"/>
      <c r="I18" s="1864"/>
      <c r="J18" s="1864"/>
      <c r="K18" s="1864"/>
      <c r="N18" s="407"/>
      <c r="O18" s="407"/>
      <c r="P18" s="407"/>
    </row>
    <row r="19" spans="2:18" ht="15.5">
      <c r="B19" s="1342" t="s">
        <v>697</v>
      </c>
      <c r="C19" s="1294"/>
      <c r="D19" s="1294"/>
      <c r="E19" s="1294"/>
      <c r="F19" s="1294"/>
      <c r="G19" s="1294"/>
      <c r="H19" s="1294"/>
      <c r="I19" s="1294"/>
      <c r="J19" s="1294"/>
      <c r="K19" s="1294"/>
      <c r="L19" s="407"/>
      <c r="M19" s="407"/>
      <c r="N19" s="1303"/>
      <c r="O19" s="1294"/>
      <c r="P19" s="1294"/>
    </row>
    <row r="20" spans="2:18" ht="15.5">
      <c r="B20" s="1308" t="s">
        <v>125</v>
      </c>
      <c r="C20" s="1294"/>
      <c r="D20" s="1294"/>
      <c r="E20" s="1294"/>
      <c r="F20" s="1294"/>
      <c r="G20" s="1294"/>
      <c r="H20" s="1294"/>
      <c r="I20" s="1294"/>
      <c r="J20" s="1294"/>
      <c r="K20" s="1294"/>
      <c r="L20" s="407"/>
      <c r="M20" s="407"/>
      <c r="N20" s="1303"/>
      <c r="O20" s="1294"/>
      <c r="P20" s="1294"/>
    </row>
    <row r="21" spans="2:18" ht="15.5">
      <c r="B21" s="1309">
        <f t="shared" ref="B21:B32" si="0">DATE($J$11,R21,1)</f>
        <v>43466</v>
      </c>
      <c r="C21" s="1275"/>
      <c r="D21" s="1865">
        <f>F13/12</f>
        <v>-2753.7114972448094</v>
      </c>
      <c r="E21" s="1866"/>
      <c r="F21" s="1865">
        <v>0</v>
      </c>
      <c r="G21" s="1865"/>
      <c r="H21" s="1865">
        <v>0</v>
      </c>
      <c r="I21" s="1865"/>
      <c r="J21" s="1865">
        <f>F21+H21</f>
        <v>0</v>
      </c>
      <c r="K21" s="1866"/>
      <c r="L21" s="1312">
        <f>+'SWT WS Q Interest Rate'!E13</f>
        <v>4.4000000000000003E-3</v>
      </c>
      <c r="M21" s="1313"/>
      <c r="N21" s="1865">
        <f t="shared" ref="N21:N32" si="1">J21*L21</f>
        <v>0</v>
      </c>
      <c r="O21" s="1865"/>
      <c r="P21" s="1865">
        <f>D21+N21</f>
        <v>-2753.7114972448094</v>
      </c>
      <c r="R21" s="397">
        <v>1</v>
      </c>
    </row>
    <row r="22" spans="2:18" ht="15.5">
      <c r="B22" s="1309">
        <f t="shared" si="0"/>
        <v>43497</v>
      </c>
      <c r="C22" s="1275"/>
      <c r="D22" s="1865">
        <f>+D21</f>
        <v>-2753.7114972448094</v>
      </c>
      <c r="E22" s="1866"/>
      <c r="F22" s="1865">
        <f>D21</f>
        <v>-2753.7114972448094</v>
      </c>
      <c r="G22" s="1865"/>
      <c r="H22" s="1865">
        <v>0</v>
      </c>
      <c r="I22" s="1865"/>
      <c r="J22" s="1865">
        <f t="shared" ref="J22:J31" si="2">F22+H22</f>
        <v>-2753.7114972448094</v>
      </c>
      <c r="K22" s="1866"/>
      <c r="L22" s="1312">
        <f>+'SWT WS Q Interest Rate'!E14</f>
        <v>4.0000000000000001E-3</v>
      </c>
      <c r="M22" s="1313"/>
      <c r="N22" s="1865">
        <f t="shared" si="1"/>
        <v>-11.014845988979237</v>
      </c>
      <c r="O22" s="1865"/>
      <c r="P22" s="1865">
        <f>SUM($D$21:D22)+SUM($N$21:N22)</f>
        <v>-5518.4378404785984</v>
      </c>
      <c r="R22" s="397">
        <v>2</v>
      </c>
    </row>
    <row r="23" spans="2:18" ht="15.5">
      <c r="B23" s="1309">
        <f t="shared" si="0"/>
        <v>43525</v>
      </c>
      <c r="C23" s="1275"/>
      <c r="D23" s="1865">
        <f>+D22</f>
        <v>-2753.7114972448094</v>
      </c>
      <c r="E23" s="1866"/>
      <c r="F23" s="1865">
        <f>D22+F22</f>
        <v>-5507.4229944896188</v>
      </c>
      <c r="G23" s="1865"/>
      <c r="H23" s="1865">
        <v>0</v>
      </c>
      <c r="I23" s="1865"/>
      <c r="J23" s="1865">
        <f t="shared" si="2"/>
        <v>-5507.4229944896188</v>
      </c>
      <c r="K23" s="1866"/>
      <c r="L23" s="1312">
        <f>+'SWT WS Q Interest Rate'!E15</f>
        <v>4.4000000000000003E-3</v>
      </c>
      <c r="M23" s="1313"/>
      <c r="N23" s="1865">
        <f t="shared" si="1"/>
        <v>-24.232661175754323</v>
      </c>
      <c r="O23" s="1865"/>
      <c r="P23" s="1865">
        <f>SUM($D$21:D23)+SUM($N$21:N23)</f>
        <v>-8296.3819988991618</v>
      </c>
      <c r="R23" s="397">
        <v>3</v>
      </c>
    </row>
    <row r="24" spans="2:18" ht="15.5">
      <c r="B24" s="1309">
        <f t="shared" si="0"/>
        <v>43556</v>
      </c>
      <c r="C24" s="1275"/>
      <c r="D24" s="1865">
        <f>+D23</f>
        <v>-2753.7114972448094</v>
      </c>
      <c r="E24" s="1866"/>
      <c r="F24" s="1865">
        <f t="shared" ref="F24:F30" si="3">D23+F23</f>
        <v>-8261.1344917344286</v>
      </c>
      <c r="G24" s="1865"/>
      <c r="H24" s="1865">
        <f>SUM($N$21:$N$23)</f>
        <v>-35.247507164733562</v>
      </c>
      <c r="I24" s="1865"/>
      <c r="J24" s="1865">
        <f t="shared" si="2"/>
        <v>-8296.3819988991618</v>
      </c>
      <c r="K24" s="1866"/>
      <c r="L24" s="1312">
        <f>+'SWT WS Q Interest Rate'!E16</f>
        <v>4.4999999999999997E-3</v>
      </c>
      <c r="M24" s="1313"/>
      <c r="N24" s="1865">
        <f t="shared" si="1"/>
        <v>-37.333718995046226</v>
      </c>
      <c r="O24" s="1865"/>
      <c r="P24" s="1865">
        <f>SUM($D$21:D24)+SUM($N$21:N24)</f>
        <v>-11087.427215139018</v>
      </c>
      <c r="R24" s="397">
        <v>4</v>
      </c>
    </row>
    <row r="25" spans="2:18" ht="15.5">
      <c r="B25" s="1309">
        <f t="shared" si="0"/>
        <v>43586</v>
      </c>
      <c r="C25" s="1275"/>
      <c r="D25" s="1865">
        <f t="shared" ref="D25:D30" si="4">+D24</f>
        <v>-2753.7114972448094</v>
      </c>
      <c r="E25" s="1866"/>
      <c r="F25" s="1865">
        <f t="shared" si="3"/>
        <v>-11014.845988979238</v>
      </c>
      <c r="G25" s="1865"/>
      <c r="H25" s="1865">
        <f t="shared" ref="H25:H26" si="5">SUM($N$21:$N$23)</f>
        <v>-35.247507164733562</v>
      </c>
      <c r="I25" s="1865"/>
      <c r="J25" s="1865">
        <f t="shared" si="2"/>
        <v>-11050.093496143971</v>
      </c>
      <c r="K25" s="1866"/>
      <c r="L25" s="1312">
        <f>+'SWT WS Q Interest Rate'!E17</f>
        <v>4.5999999999999999E-3</v>
      </c>
      <c r="M25" s="1313"/>
      <c r="N25" s="1865">
        <f t="shared" si="1"/>
        <v>-50.830430082262268</v>
      </c>
      <c r="O25" s="1865"/>
      <c r="P25" s="1865">
        <f>SUM($D$21:D25)+SUM($N$21:N25)</f>
        <v>-13891.969142466089</v>
      </c>
      <c r="R25" s="397">
        <v>5</v>
      </c>
    </row>
    <row r="26" spans="2:18" ht="15.5">
      <c r="B26" s="1309">
        <f t="shared" si="0"/>
        <v>43617</v>
      </c>
      <c r="C26" s="1275"/>
      <c r="D26" s="1865">
        <f t="shared" si="4"/>
        <v>-2753.7114972448094</v>
      </c>
      <c r="E26" s="1866"/>
      <c r="F26" s="1865">
        <f t="shared" si="3"/>
        <v>-13768.557486224046</v>
      </c>
      <c r="G26" s="1865"/>
      <c r="H26" s="1865">
        <f t="shared" si="5"/>
        <v>-35.247507164733562</v>
      </c>
      <c r="I26" s="1865"/>
      <c r="J26" s="1865">
        <f t="shared" si="2"/>
        <v>-13803.80499338878</v>
      </c>
      <c r="K26" s="1866"/>
      <c r="L26" s="1312">
        <f>+'SWT WS Q Interest Rate'!E18</f>
        <v>4.4999999999999997E-3</v>
      </c>
      <c r="M26" s="1313"/>
      <c r="N26" s="1865">
        <f t="shared" si="1"/>
        <v>-62.117122470249505</v>
      </c>
      <c r="O26" s="1865"/>
      <c r="P26" s="1865">
        <f>SUM($D$21:D26)+SUM($N$21:N26)</f>
        <v>-16707.797762181148</v>
      </c>
      <c r="R26" s="397">
        <v>6</v>
      </c>
    </row>
    <row r="27" spans="2:18" ht="15.5">
      <c r="B27" s="1309">
        <f t="shared" si="0"/>
        <v>43647</v>
      </c>
      <c r="C27" s="1275"/>
      <c r="D27" s="1865">
        <f t="shared" si="4"/>
        <v>-2753.7114972448094</v>
      </c>
      <c r="E27" s="1866"/>
      <c r="F27" s="1865">
        <f t="shared" si="3"/>
        <v>-16522.268983468857</v>
      </c>
      <c r="G27" s="1865"/>
      <c r="H27" s="1865">
        <f>$H$26+SUM($N$24:$N$26)</f>
        <v>-185.52877871229157</v>
      </c>
      <c r="I27" s="1865"/>
      <c r="J27" s="1865">
        <f t="shared" si="2"/>
        <v>-16707.797762181148</v>
      </c>
      <c r="K27" s="1866"/>
      <c r="L27" s="1312">
        <f>+'SWT WS Q Interest Rate'!E19</f>
        <v>4.7000000000000002E-3</v>
      </c>
      <c r="M27" s="1313"/>
      <c r="N27" s="1865">
        <f t="shared" si="1"/>
        <v>-78.526649482251401</v>
      </c>
      <c r="O27" s="1865"/>
      <c r="P27" s="1865">
        <f>SUM($D$21:D27)+SUM($N$21:N27)</f>
        <v>-19540.035908908212</v>
      </c>
      <c r="R27" s="397">
        <v>7</v>
      </c>
    </row>
    <row r="28" spans="2:18" ht="15.5">
      <c r="B28" s="1309">
        <f t="shared" si="0"/>
        <v>43678</v>
      </c>
      <c r="C28" s="1275"/>
      <c r="D28" s="1865">
        <f t="shared" si="4"/>
        <v>-2753.7114972448094</v>
      </c>
      <c r="E28" s="1866"/>
      <c r="F28" s="1865">
        <f t="shared" si="3"/>
        <v>-19275.980480713668</v>
      </c>
      <c r="G28" s="1865"/>
      <c r="H28" s="1865">
        <f>$H$26+SUM($N$24:$N$26)</f>
        <v>-185.52877871229157</v>
      </c>
      <c r="I28" s="1865"/>
      <c r="J28" s="1865">
        <f t="shared" si="2"/>
        <v>-19461.509259425959</v>
      </c>
      <c r="K28" s="1866"/>
      <c r="L28" s="1312">
        <f>+'SWT WS Q Interest Rate'!E20</f>
        <v>4.7000000000000002E-3</v>
      </c>
      <c r="M28" s="1313"/>
      <c r="N28" s="1865">
        <f t="shared" si="1"/>
        <v>-91.469093519302007</v>
      </c>
      <c r="O28" s="1865"/>
      <c r="P28" s="1865">
        <f>SUM($D$21:D28)+SUM($N$21:N28)</f>
        <v>-22385.216499672322</v>
      </c>
      <c r="R28" s="397">
        <v>8</v>
      </c>
    </row>
    <row r="29" spans="2:18" ht="15.5">
      <c r="B29" s="1309">
        <f t="shared" si="0"/>
        <v>43709</v>
      </c>
      <c r="C29" s="1275"/>
      <c r="D29" s="1865">
        <f t="shared" si="4"/>
        <v>-2753.7114972448094</v>
      </c>
      <c r="E29" s="1866"/>
      <c r="F29" s="1865">
        <f t="shared" si="3"/>
        <v>-22029.691977958479</v>
      </c>
      <c r="G29" s="1865"/>
      <c r="H29" s="1865">
        <f>$H$26+SUM($N$24:$N$26)</f>
        <v>-185.52877871229157</v>
      </c>
      <c r="I29" s="1865"/>
      <c r="J29" s="1865">
        <f t="shared" si="2"/>
        <v>-22215.220756670769</v>
      </c>
      <c r="K29" s="1866"/>
      <c r="L29" s="1312">
        <f>+'SWT WS Q Interest Rate'!E21</f>
        <v>4.4999999999999997E-3</v>
      </c>
      <c r="M29" s="1313"/>
      <c r="N29" s="1865">
        <f t="shared" si="1"/>
        <v>-99.968493405018449</v>
      </c>
      <c r="O29" s="1865"/>
      <c r="P29" s="1865">
        <f>SUM($D$21:D29)+SUM($N$21:N29)</f>
        <v>-25238.896490322153</v>
      </c>
      <c r="R29" s="397">
        <v>9</v>
      </c>
    </row>
    <row r="30" spans="2:18" ht="15.5">
      <c r="B30" s="1309">
        <f t="shared" si="0"/>
        <v>43739</v>
      </c>
      <c r="C30" s="1275"/>
      <c r="D30" s="1865">
        <f t="shared" si="4"/>
        <v>-2753.7114972448094</v>
      </c>
      <c r="E30" s="1866"/>
      <c r="F30" s="1865">
        <f t="shared" si="3"/>
        <v>-24783.403475203289</v>
      </c>
      <c r="G30" s="1865"/>
      <c r="H30" s="1865">
        <f>$H$29+SUM($N$27:$N$29)</f>
        <v>-455.49301511886347</v>
      </c>
      <c r="I30" s="1865"/>
      <c r="J30" s="1865">
        <f t="shared" si="2"/>
        <v>-25238.896490322153</v>
      </c>
      <c r="K30" s="1866"/>
      <c r="L30" s="1312">
        <f>+'SWT WS Q Interest Rate'!E22</f>
        <v>4.5999999999999999E-3</v>
      </c>
      <c r="M30" s="1313"/>
      <c r="N30" s="1865">
        <f t="shared" si="1"/>
        <v>-116.0989238554819</v>
      </c>
      <c r="O30" s="1865"/>
      <c r="P30" s="1865">
        <f>SUM($D$21:D30)+SUM($N$21:N30)</f>
        <v>-28108.706911422447</v>
      </c>
      <c r="R30" s="397">
        <v>10</v>
      </c>
    </row>
    <row r="31" spans="2:18" ht="15.5">
      <c r="B31" s="1309">
        <f t="shared" si="0"/>
        <v>43770</v>
      </c>
      <c r="C31" s="1275"/>
      <c r="D31" s="1865">
        <f>+D30</f>
        <v>-2753.7114972448094</v>
      </c>
      <c r="E31" s="1866"/>
      <c r="F31" s="1865">
        <f>D30+F30</f>
        <v>-27537.1149724481</v>
      </c>
      <c r="G31" s="1865"/>
      <c r="H31" s="1865">
        <f>$H$29+SUM($N$27:$N$29)</f>
        <v>-455.49301511886347</v>
      </c>
      <c r="I31" s="1865"/>
      <c r="J31" s="1865">
        <f t="shared" si="2"/>
        <v>-27992.607987566964</v>
      </c>
      <c r="K31" s="1866"/>
      <c r="L31" s="1312">
        <f>+'SWT WS Q Interest Rate'!E23</f>
        <v>4.4999999999999997E-3</v>
      </c>
      <c r="M31" s="1313"/>
      <c r="N31" s="1865">
        <f t="shared" si="1"/>
        <v>-125.96673594405132</v>
      </c>
      <c r="O31" s="1865"/>
      <c r="P31" s="1865">
        <f>SUM($D$21:D31)+SUM($N$21:N31)</f>
        <v>-30988.385144611308</v>
      </c>
      <c r="R31" s="397">
        <v>11</v>
      </c>
    </row>
    <row r="32" spans="2:18" ht="15.5">
      <c r="B32" s="1309">
        <f t="shared" si="0"/>
        <v>43800</v>
      </c>
      <c r="C32" s="1275"/>
      <c r="D32" s="1865">
        <f>+D31</f>
        <v>-2753.7114972448094</v>
      </c>
      <c r="E32" s="1866"/>
      <c r="F32" s="1865">
        <f>D31+F31</f>
        <v>-30290.826469692911</v>
      </c>
      <c r="G32" s="1865"/>
      <c r="H32" s="1865">
        <f>$H$29+SUM($N$27:$N$29)</f>
        <v>-455.49301511886347</v>
      </c>
      <c r="I32" s="1865"/>
      <c r="J32" s="1865">
        <f>F32+H32</f>
        <v>-30746.319484811775</v>
      </c>
      <c r="K32" s="1866"/>
      <c r="L32" s="1312">
        <f>+'SWT WS Q Interest Rate'!E24</f>
        <v>4.5999999999999999E-3</v>
      </c>
      <c r="M32" s="1313"/>
      <c r="N32" s="1865">
        <f t="shared" si="1"/>
        <v>-141.43306963013416</v>
      </c>
      <c r="O32" s="1865"/>
      <c r="P32" s="1865">
        <f>SUM($D$21:D32)+SUM($N$21:N32)</f>
        <v>-33883.529711486255</v>
      </c>
      <c r="R32" s="397">
        <v>12</v>
      </c>
    </row>
    <row r="33" spans="2:20" ht="15.5">
      <c r="B33" s="1275"/>
      <c r="C33" s="1275"/>
      <c r="D33" s="1865"/>
      <c r="E33" s="1866"/>
      <c r="F33" s="1865"/>
      <c r="G33" s="1865"/>
      <c r="H33" s="1865"/>
      <c r="I33" s="1865"/>
      <c r="J33" s="1865"/>
      <c r="K33" s="1866"/>
      <c r="L33" s="1294"/>
      <c r="M33" s="1275"/>
      <c r="N33" s="1867"/>
      <c r="O33" s="1865"/>
      <c r="P33" s="1868"/>
    </row>
    <row r="34" spans="2:20" ht="15.5">
      <c r="B34" s="1308" t="s">
        <v>698</v>
      </c>
      <c r="C34" s="1275"/>
      <c r="D34" s="1865"/>
      <c r="E34" s="1866"/>
      <c r="F34" s="1865"/>
      <c r="G34" s="1865"/>
      <c r="H34" s="1865"/>
      <c r="I34" s="1865"/>
      <c r="J34" s="1865"/>
      <c r="K34" s="1866"/>
      <c r="L34" s="1294"/>
      <c r="M34" s="1275"/>
      <c r="N34" s="1865"/>
      <c r="O34" s="1865"/>
      <c r="P34" s="1869"/>
    </row>
    <row r="35" spans="2:20" ht="15.5">
      <c r="B35" s="1309">
        <f t="shared" ref="B35:B40" si="6">DATE($J$12,R35,1)</f>
        <v>43831</v>
      </c>
      <c r="C35" s="1275"/>
      <c r="D35" s="1865">
        <v>0</v>
      </c>
      <c r="E35" s="1866"/>
      <c r="F35" s="1865">
        <f>D32+F32</f>
        <v>-33044.537966937722</v>
      </c>
      <c r="G35" s="1865"/>
      <c r="H35" s="1865">
        <f>$H$32+SUM($N$30:$N$32)</f>
        <v>-838.99174454853085</v>
      </c>
      <c r="I35" s="1865"/>
      <c r="J35" s="1865">
        <f>F35+H35</f>
        <v>-33883.529711486255</v>
      </c>
      <c r="K35" s="1866"/>
      <c r="L35" s="1312">
        <f>+'SWT WS Q Interest Rate'!E25</f>
        <v>4.1999999999999997E-3</v>
      </c>
      <c r="M35" s="1313"/>
      <c r="N35" s="1865">
        <f t="shared" ref="N35:N40" si="7">J35*L35</f>
        <v>-142.31082478824226</v>
      </c>
      <c r="O35" s="1865"/>
      <c r="P35" s="1865">
        <f>SUM($D$21:D35)+SUM($N$21:N35)</f>
        <v>-34025.840536274496</v>
      </c>
      <c r="R35" s="397">
        <v>1</v>
      </c>
    </row>
    <row r="36" spans="2:20" ht="15.5">
      <c r="B36" s="1309">
        <f t="shared" si="6"/>
        <v>43862</v>
      </c>
      <c r="C36" s="1275"/>
      <c r="D36" s="1865">
        <v>0</v>
      </c>
      <c r="E36" s="1866"/>
      <c r="F36" s="1865">
        <f>D35+F35</f>
        <v>-33044.537966937722</v>
      </c>
      <c r="G36" s="1865"/>
      <c r="H36" s="1865">
        <f>$H$32+SUM($N$30:$N$32)</f>
        <v>-838.99174454853085</v>
      </c>
      <c r="I36" s="1865"/>
      <c r="J36" s="1865">
        <f>F36+H36</f>
        <v>-33883.529711486255</v>
      </c>
      <c r="K36" s="1866"/>
      <c r="L36" s="1312">
        <f>+'SWT WS Q Interest Rate'!E26</f>
        <v>3.8999999999999998E-3</v>
      </c>
      <c r="M36" s="1313"/>
      <c r="N36" s="1865">
        <f t="shared" si="7"/>
        <v>-132.14576587479638</v>
      </c>
      <c r="O36" s="1865"/>
      <c r="P36" s="1865">
        <f>SUM($D$21:D36)+SUM($N$21:N36)</f>
        <v>-34157.986302149293</v>
      </c>
      <c r="R36" s="397">
        <v>2</v>
      </c>
    </row>
    <row r="37" spans="2:20" ht="15.5">
      <c r="B37" s="1309">
        <f t="shared" si="6"/>
        <v>43891</v>
      </c>
      <c r="C37" s="1275"/>
      <c r="D37" s="1865">
        <v>0</v>
      </c>
      <c r="E37" s="1866"/>
      <c r="F37" s="1865">
        <f t="shared" ref="F37:F40" si="8">D36+F36</f>
        <v>-33044.537966937722</v>
      </c>
      <c r="G37" s="1865"/>
      <c r="H37" s="1865">
        <f>$H$32+SUM($N$30:$N$32)</f>
        <v>-838.99174454853085</v>
      </c>
      <c r="I37" s="1865"/>
      <c r="J37" s="1865">
        <f t="shared" ref="J37:J40" si="9">F37+H37</f>
        <v>-33883.529711486255</v>
      </c>
      <c r="K37" s="1866"/>
      <c r="L37" s="1312">
        <f>+'SWT WS Q Interest Rate'!E27</f>
        <v>4.1999999999999997E-3</v>
      </c>
      <c r="M37" s="1313"/>
      <c r="N37" s="1865">
        <f t="shared" si="7"/>
        <v>-142.31082478824226</v>
      </c>
      <c r="O37" s="1865"/>
      <c r="P37" s="1865">
        <f>SUM($D$21:D37)+SUM($N$21:N37)</f>
        <v>-34300.297126937534</v>
      </c>
      <c r="R37" s="397">
        <v>3</v>
      </c>
    </row>
    <row r="38" spans="2:20" ht="15.5">
      <c r="B38" s="1309">
        <f t="shared" si="6"/>
        <v>43922</v>
      </c>
      <c r="C38" s="1275"/>
      <c r="D38" s="1865">
        <v>0</v>
      </c>
      <c r="E38" s="1866"/>
      <c r="F38" s="1865">
        <f t="shared" si="8"/>
        <v>-33044.537966937722</v>
      </c>
      <c r="G38" s="1865"/>
      <c r="H38" s="1865">
        <f>$H$37+SUM($N$35:$N$37)</f>
        <v>-1255.7591599998118</v>
      </c>
      <c r="I38" s="1865"/>
      <c r="J38" s="1865">
        <f>F38+H38</f>
        <v>-34300.297126937534</v>
      </c>
      <c r="K38" s="1866"/>
      <c r="L38" s="1312">
        <f>+'SWT WS Q Interest Rate'!E28</f>
        <v>3.8999999999999998E-3</v>
      </c>
      <c r="M38" s="1313"/>
      <c r="N38" s="1865">
        <f t="shared" si="7"/>
        <v>-133.77115879505638</v>
      </c>
      <c r="O38" s="1865"/>
      <c r="P38" s="1865">
        <f>SUM($D$21:D38)+SUM($N$21:N38)</f>
        <v>-34434.068285732588</v>
      </c>
      <c r="R38" s="397">
        <v>4</v>
      </c>
    </row>
    <row r="39" spans="2:20" ht="15.5">
      <c r="B39" s="1309">
        <f t="shared" si="6"/>
        <v>43952</v>
      </c>
      <c r="C39" s="1275"/>
      <c r="D39" s="1865">
        <v>0</v>
      </c>
      <c r="E39" s="1866"/>
      <c r="F39" s="1865">
        <f t="shared" si="8"/>
        <v>-33044.537966937722</v>
      </c>
      <c r="G39" s="1865"/>
      <c r="H39" s="1865">
        <f>$H$37+SUM($N$35:$N$37)</f>
        <v>-1255.7591599998118</v>
      </c>
      <c r="I39" s="1865"/>
      <c r="J39" s="1865">
        <f t="shared" si="9"/>
        <v>-34300.297126937534</v>
      </c>
      <c r="K39" s="1866"/>
      <c r="L39" s="1312">
        <f>+'SWT WS Q Interest Rate'!E29</f>
        <v>4.0000000000000001E-3</v>
      </c>
      <c r="M39" s="1313"/>
      <c r="N39" s="1865">
        <f t="shared" si="7"/>
        <v>-137.20118850775015</v>
      </c>
      <c r="O39" s="1865"/>
      <c r="P39" s="1865">
        <f>SUM($D$21:D39)+SUM($N$21:N39)</f>
        <v>-34571.26947424034</v>
      </c>
      <c r="R39" s="397">
        <v>5</v>
      </c>
    </row>
    <row r="40" spans="2:20" ht="16" thickBot="1">
      <c r="B40" s="1324">
        <f t="shared" si="6"/>
        <v>43983</v>
      </c>
      <c r="C40" s="1325"/>
      <c r="D40" s="1873">
        <v>0</v>
      </c>
      <c r="E40" s="1880"/>
      <c r="F40" s="1873">
        <f t="shared" si="8"/>
        <v>-33044.537966937722</v>
      </c>
      <c r="G40" s="1873"/>
      <c r="H40" s="1873">
        <f>$H$37+SUM($N$35:$N$37)</f>
        <v>-1255.7591599998118</v>
      </c>
      <c r="I40" s="1873"/>
      <c r="J40" s="1873">
        <f t="shared" si="9"/>
        <v>-34300.297126937534</v>
      </c>
      <c r="K40" s="1880"/>
      <c r="L40" s="1327">
        <f>+'SWT WS Q Interest Rate'!E30</f>
        <v>3.8999999999999998E-3</v>
      </c>
      <c r="M40" s="1344"/>
      <c r="N40" s="1873">
        <f t="shared" si="7"/>
        <v>-133.77115879505638</v>
      </c>
      <c r="O40" s="1873"/>
      <c r="P40" s="1873">
        <f>SUM($D$21:D40)+SUM($N$21:N40)</f>
        <v>-34705.040633035394</v>
      </c>
      <c r="R40" s="397">
        <v>6</v>
      </c>
    </row>
    <row r="41" spans="2:20" ht="15.5">
      <c r="B41" s="1275"/>
      <c r="C41" s="1275"/>
      <c r="D41" s="1292"/>
      <c r="E41" s="1292"/>
      <c r="F41" s="1292"/>
      <c r="G41" s="1292"/>
      <c r="H41" s="1292"/>
      <c r="I41" s="1292"/>
      <c r="J41" s="1292"/>
      <c r="K41" s="1292"/>
      <c r="L41" s="1275"/>
      <c r="M41" s="1275"/>
      <c r="N41" s="1865"/>
      <c r="O41" s="1865"/>
      <c r="P41" s="1865"/>
    </row>
    <row r="42" spans="2:20" ht="15.5">
      <c r="B42" s="407"/>
      <c r="C42" s="407"/>
      <c r="D42" s="407"/>
      <c r="E42" s="407"/>
      <c r="F42" s="407"/>
      <c r="G42" s="407"/>
      <c r="H42" s="407"/>
      <c r="I42" s="407"/>
      <c r="J42" s="407"/>
      <c r="K42" s="407"/>
      <c r="L42" s="407"/>
      <c r="M42" s="407"/>
      <c r="N42" s="1869"/>
      <c r="O42" s="1869"/>
      <c r="P42" s="1869"/>
    </row>
    <row r="43" spans="2:20" ht="15.5">
      <c r="B43" s="1328" t="s">
        <v>700</v>
      </c>
      <c r="C43" s="1329"/>
      <c r="D43" s="1329"/>
      <c r="E43" s="1329"/>
      <c r="F43" s="1329"/>
      <c r="G43" s="1329"/>
      <c r="H43" s="1329"/>
      <c r="I43" s="1329"/>
      <c r="J43" s="1329"/>
      <c r="K43" s="1329"/>
      <c r="L43" s="1329"/>
      <c r="M43" s="1329"/>
      <c r="N43" s="1345"/>
      <c r="O43" s="1874"/>
      <c r="P43" s="1875">
        <f>P40</f>
        <v>-34705.040633035394</v>
      </c>
    </row>
    <row r="44" spans="2:20" ht="15.5">
      <c r="B44" s="1332" t="s">
        <v>701</v>
      </c>
      <c r="C44" s="1333"/>
      <c r="D44" s="1333"/>
      <c r="E44" s="1333"/>
      <c r="F44" s="1333"/>
      <c r="G44" s="1333"/>
      <c r="H44" s="1333"/>
      <c r="I44" s="1333"/>
      <c r="J44" s="1333"/>
      <c r="K44" s="1333"/>
      <c r="L44" s="1333"/>
      <c r="M44" s="1333"/>
      <c r="N44" s="1346"/>
      <c r="O44" s="1876"/>
      <c r="P44" s="1867">
        <f>+F13</f>
        <v>-33044.537966937714</v>
      </c>
    </row>
    <row r="45" spans="2:20" ht="15.5">
      <c r="B45" s="1335" t="s">
        <v>702</v>
      </c>
      <c r="C45" s="1336"/>
      <c r="D45" s="1336"/>
      <c r="E45" s="1336"/>
      <c r="F45" s="1336"/>
      <c r="G45" s="1336"/>
      <c r="H45" s="1336"/>
      <c r="I45" s="1336"/>
      <c r="J45" s="1336"/>
      <c r="K45" s="1336"/>
      <c r="L45" s="1336"/>
      <c r="M45" s="1336"/>
      <c r="N45" s="1347"/>
      <c r="O45" s="1877"/>
      <c r="P45" s="1878">
        <f>P43-P44</f>
        <v>-1660.50266609768</v>
      </c>
    </row>
    <row r="46" spans="2:20">
      <c r="B46" s="279"/>
      <c r="C46" s="279"/>
      <c r="D46" s="279"/>
      <c r="E46" s="279"/>
      <c r="F46" s="279"/>
      <c r="G46" s="279"/>
      <c r="H46" s="279"/>
      <c r="I46" s="279"/>
      <c r="J46" s="279"/>
      <c r="K46" s="279"/>
      <c r="L46" s="279"/>
      <c r="M46" s="279"/>
      <c r="N46" s="279"/>
      <c r="O46" s="279"/>
      <c r="P46" s="279"/>
    </row>
    <row r="47" spans="2:20" ht="15.5">
      <c r="B47" s="2067" t="s">
        <v>902</v>
      </c>
      <c r="C47" s="2067"/>
      <c r="D47" s="2067"/>
      <c r="E47" s="2067"/>
      <c r="F47" s="2067"/>
      <c r="G47" s="2067"/>
      <c r="H47" s="2067"/>
      <c r="I47" s="2067"/>
      <c r="J47" s="2067"/>
      <c r="K47" s="2067"/>
      <c r="L47" s="2067"/>
      <c r="M47" s="2067"/>
      <c r="N47" s="2067"/>
      <c r="O47" s="1339"/>
      <c r="P47" s="1339"/>
      <c r="T47" s="1871"/>
    </row>
    <row r="48" spans="2:20" ht="17.25" customHeight="1">
      <c r="B48" s="2067"/>
      <c r="C48" s="2067"/>
      <c r="D48" s="2067"/>
      <c r="E48" s="2067"/>
      <c r="F48" s="2067"/>
      <c r="G48" s="2067"/>
      <c r="H48" s="2067"/>
      <c r="I48" s="2067"/>
      <c r="J48" s="2067"/>
      <c r="K48" s="2067"/>
      <c r="L48" s="2067"/>
      <c r="M48" s="2067"/>
      <c r="N48" s="2067"/>
      <c r="O48" s="279"/>
      <c r="P48" s="279"/>
    </row>
    <row r="50" spans="2:14">
      <c r="B50" s="2063" t="s">
        <v>904</v>
      </c>
      <c r="C50" s="2063"/>
      <c r="D50" s="2063"/>
      <c r="E50" s="2063"/>
      <c r="F50" s="2063"/>
      <c r="G50" s="2063"/>
      <c r="H50" s="2063"/>
      <c r="I50" s="2063"/>
      <c r="J50" s="2063"/>
      <c r="K50" s="2063"/>
      <c r="L50" s="2063"/>
      <c r="M50" s="2063"/>
      <c r="N50" s="2063"/>
    </row>
    <row r="51" spans="2:14" ht="21.75" customHeight="1">
      <c r="B51" s="2063"/>
      <c r="C51" s="2063"/>
      <c r="D51" s="2063"/>
      <c r="E51" s="2063"/>
      <c r="F51" s="2063"/>
      <c r="G51" s="2063"/>
      <c r="H51" s="2063"/>
      <c r="I51" s="2063"/>
      <c r="J51" s="2063"/>
      <c r="K51" s="2063"/>
      <c r="L51" s="2063"/>
      <c r="M51" s="2063"/>
      <c r="N51" s="2063"/>
    </row>
    <row r="53" spans="2:14" ht="15.5">
      <c r="B53" s="1305"/>
    </row>
    <row r="68" ht="15.75" customHeight="1"/>
    <row r="69" ht="12.75" customHeight="1"/>
    <row r="70" ht="15" customHeight="1"/>
  </sheetData>
  <mergeCells count="6">
    <mergeCell ref="B50:N51"/>
    <mergeCell ref="B4:P4"/>
    <mergeCell ref="B5:P5"/>
    <mergeCell ref="B6:P6"/>
    <mergeCell ref="B7:P7"/>
    <mergeCell ref="B47:N48"/>
  </mergeCells>
  <pageMargins left="0.7" right="0.7" top="0.75" bottom="0.75" header="0.3" footer="0.3"/>
  <pageSetup scale="49" fitToHeight="0" orientation="portrait" r:id="rId1"/>
  <headerFooter>
    <oddHeader>&amp;RAEP - SPP Transco Formula Rate
TCOS - WS O
Page: &amp;P of &amp;N</oddHeader>
  </headerFooter>
  <colBreaks count="1" manualBreakCount="1">
    <brk id="14"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zoomScaleNormal="100" workbookViewId="0">
      <selection activeCell="D14" sqref="D14"/>
    </sheetView>
  </sheetViews>
  <sheetFormatPr defaultColWidth="9.1796875" defaultRowHeight="12.5"/>
  <cols>
    <col min="1" max="1" width="1.7265625" style="397" customWidth="1"/>
    <col min="2" max="2" width="25.1796875" style="397" customWidth="1"/>
    <col min="3" max="3" width="1.7265625" style="397" customWidth="1"/>
    <col min="4" max="4" width="22.54296875" style="397" customWidth="1"/>
    <col min="5" max="5" width="1.7265625" style="397" customWidth="1"/>
    <col min="6" max="6" width="24.81640625" style="397" customWidth="1"/>
    <col min="7" max="7" width="1.7265625" style="397" customWidth="1"/>
    <col min="8" max="8" width="21.453125" style="397" customWidth="1"/>
    <col min="9" max="9" width="1.7265625" style="397" customWidth="1"/>
    <col min="10" max="10" width="21" style="397" customWidth="1"/>
    <col min="11" max="11" width="1.7265625" style="397" customWidth="1"/>
    <col min="12" max="12" width="18.26953125" style="397" customWidth="1"/>
    <col min="13" max="13" width="1.7265625" style="397" customWidth="1"/>
    <col min="14" max="14" width="17" style="397" customWidth="1"/>
    <col min="15" max="15" width="1.7265625" style="397" customWidth="1"/>
    <col min="16" max="16" width="18.1796875" style="397" customWidth="1"/>
    <col min="17" max="17" width="7.7265625" style="397" bestFit="1" customWidth="1"/>
    <col min="18" max="18" width="3" style="397" hidden="1" customWidth="1"/>
    <col min="19" max="19" width="9.1796875" style="397"/>
    <col min="20" max="20" width="3" style="397" bestFit="1" customWidth="1"/>
    <col min="21" max="16384" width="9.1796875" style="397"/>
  </cols>
  <sheetData>
    <row r="1" spans="1:18" ht="15.5">
      <c r="A1" s="1272"/>
    </row>
    <row r="2" spans="1:18" ht="15.5">
      <c r="A2" s="1273"/>
    </row>
    <row r="3" spans="1:18" ht="15.5">
      <c r="A3" s="1273"/>
    </row>
    <row r="4" spans="1:18" ht="15.5">
      <c r="B4" s="2064" t="str">
        <f>+'SWT TCOS'!F4</f>
        <v xml:space="preserve">AEP West SPP Member Transmission Companies </v>
      </c>
      <c r="C4" s="2064"/>
      <c r="D4" s="2064"/>
      <c r="E4" s="2064"/>
      <c r="F4" s="2064"/>
      <c r="G4" s="2064"/>
      <c r="H4" s="2064"/>
      <c r="I4" s="2064"/>
      <c r="J4" s="2064"/>
      <c r="K4" s="2064"/>
      <c r="L4" s="2064"/>
      <c r="M4" s="2064"/>
      <c r="N4" s="2064"/>
      <c r="O4" s="2064"/>
      <c r="P4" s="2064"/>
    </row>
    <row r="5" spans="1:18" ht="15.5">
      <c r="B5" s="2065" t="str">
        <f>+'SWT WS A-1 - Plant'!A3</f>
        <v xml:space="preserve">Actual / Projected 2019 Rate Year Cost of Service Formula Rate </v>
      </c>
      <c r="C5" s="2065"/>
      <c r="D5" s="2065"/>
      <c r="E5" s="2065"/>
      <c r="F5" s="2065"/>
      <c r="G5" s="2065"/>
      <c r="H5" s="2065"/>
      <c r="I5" s="2065"/>
      <c r="J5" s="2065"/>
      <c r="K5" s="2065"/>
      <c r="L5" s="2065"/>
      <c r="M5" s="2065"/>
      <c r="N5" s="2065"/>
      <c r="O5" s="2065"/>
      <c r="P5" s="2065"/>
    </row>
    <row r="6" spans="1:18" ht="15.5">
      <c r="B6" s="2065" t="s">
        <v>906</v>
      </c>
      <c r="C6" s="2065"/>
      <c r="D6" s="2065"/>
      <c r="E6" s="2065"/>
      <c r="F6" s="2065"/>
      <c r="G6" s="2065"/>
      <c r="H6" s="2065"/>
      <c r="I6" s="2065"/>
      <c r="J6" s="2065"/>
      <c r="K6" s="2065"/>
      <c r="L6" s="2065"/>
      <c r="M6" s="2065"/>
      <c r="N6" s="2065"/>
      <c r="O6" s="2065"/>
      <c r="P6" s="2065"/>
    </row>
    <row r="7" spans="1:18" ht="15.5">
      <c r="B7" s="2025" t="str">
        <f>+'SWT TCOS'!F8</f>
        <v>AEP SOUTHWESTERN TRANSMISSION COMPANY</v>
      </c>
      <c r="C7" s="2025"/>
      <c r="D7" s="2025"/>
      <c r="E7" s="2025"/>
      <c r="F7" s="2025"/>
      <c r="G7" s="2025"/>
      <c r="H7" s="2025"/>
      <c r="I7" s="2025"/>
      <c r="J7" s="2025"/>
      <c r="K7" s="2025"/>
      <c r="L7" s="2025"/>
      <c r="M7" s="2025"/>
      <c r="N7" s="2025"/>
      <c r="O7" s="2025"/>
      <c r="P7" s="2025"/>
      <c r="Q7" s="1341"/>
      <c r="R7" s="1341"/>
    </row>
    <row r="8" spans="1:18">
      <c r="B8" s="279"/>
      <c r="C8" s="279"/>
      <c r="D8" s="279"/>
      <c r="E8" s="279"/>
      <c r="F8" s="279"/>
      <c r="G8" s="279"/>
      <c r="H8" s="279"/>
      <c r="I8" s="279"/>
      <c r="J8" s="279"/>
      <c r="K8" s="279"/>
      <c r="L8" s="279"/>
      <c r="M8" s="279"/>
      <c r="N8" s="279"/>
      <c r="O8" s="279"/>
      <c r="P8" s="279"/>
    </row>
    <row r="9" spans="1:18">
      <c r="B9" s="279"/>
      <c r="C9" s="279"/>
      <c r="D9" s="279"/>
      <c r="E9" s="279"/>
      <c r="F9" s="279"/>
      <c r="G9" s="279"/>
      <c r="H9" s="279"/>
      <c r="I9" s="279"/>
      <c r="J9" s="279"/>
      <c r="K9" s="279"/>
      <c r="L9" s="279"/>
      <c r="M9" s="279"/>
      <c r="N9" s="279"/>
      <c r="O9" s="279"/>
      <c r="P9" s="279"/>
    </row>
    <row r="10" spans="1:18" ht="16" thickBot="1">
      <c r="B10" s="1274"/>
      <c r="C10" s="1275"/>
      <c r="D10" s="1275"/>
      <c r="E10" s="1275"/>
      <c r="F10" s="1275"/>
      <c r="G10" s="1275"/>
      <c r="H10" s="1275"/>
      <c r="I10" s="1275"/>
      <c r="J10" s="1275"/>
      <c r="K10" s="1275"/>
      <c r="O10" s="1275"/>
      <c r="P10" s="1275"/>
    </row>
    <row r="11" spans="1:18" ht="51">
      <c r="B11" s="1276" t="str">
        <f>"True up Revenue Requirement For Year "&amp;J11&amp;" Available May, "&amp;J12</f>
        <v>True up Revenue Requirement For Year 2019 Available May, 2020</v>
      </c>
      <c r="C11" s="1275"/>
      <c r="D11" s="1276" t="s">
        <v>929</v>
      </c>
      <c r="E11" s="1277"/>
      <c r="F11" s="1278" t="s">
        <v>683</v>
      </c>
      <c r="G11" s="407"/>
      <c r="H11" s="1279" t="s">
        <v>684</v>
      </c>
      <c r="I11" s="1275"/>
      <c r="J11" s="1280">
        <f>+'SWT TCOS'!N2</f>
        <v>2019</v>
      </c>
      <c r="K11" s="1275"/>
      <c r="O11" s="407"/>
      <c r="P11" s="407"/>
    </row>
    <row r="12" spans="1:18" ht="15.5">
      <c r="B12" s="1281" t="s">
        <v>253</v>
      </c>
      <c r="C12" s="1275"/>
      <c r="D12" s="1281"/>
      <c r="E12" s="1277"/>
      <c r="F12" s="1282"/>
      <c r="G12" s="407"/>
      <c r="H12" s="1283" t="s">
        <v>685</v>
      </c>
      <c r="I12" s="1284"/>
      <c r="J12" s="1285">
        <f>J11+1</f>
        <v>2020</v>
      </c>
      <c r="O12" s="407"/>
      <c r="P12" s="407"/>
    </row>
    <row r="13" spans="1:18" ht="16" thickBot="1">
      <c r="B13" s="1286">
        <f>+'Sch 1 Rates'!L18</f>
        <v>59.5</v>
      </c>
      <c r="C13" s="1287" t="s">
        <v>686</v>
      </c>
      <c r="D13" s="1286">
        <v>37.158479999999997</v>
      </c>
      <c r="E13" s="1288" t="s">
        <v>687</v>
      </c>
      <c r="F13" s="1289">
        <f>IF(B13=0,0,D13-B13)</f>
        <v>-22.341520000000003</v>
      </c>
      <c r="G13" s="1290"/>
      <c r="H13" s="1291" t="s">
        <v>688</v>
      </c>
      <c r="I13" s="1292"/>
      <c r="J13" s="1293">
        <f>J12+1</f>
        <v>2021</v>
      </c>
      <c r="O13" s="407"/>
      <c r="P13" s="407"/>
    </row>
    <row r="14" spans="1:18" ht="15.5">
      <c r="B14" s="1292"/>
      <c r="C14" s="1294"/>
      <c r="D14" s="1292"/>
      <c r="E14" s="1292"/>
      <c r="F14" s="1292"/>
      <c r="G14" s="1292"/>
      <c r="H14" s="407"/>
      <c r="I14" s="407"/>
      <c r="O14" s="407"/>
      <c r="P14" s="407"/>
    </row>
    <row r="15" spans="1:18" ht="16" thickBot="1">
      <c r="B15" s="1295"/>
      <c r="C15" s="1296"/>
      <c r="D15" s="1295"/>
      <c r="E15" s="1295"/>
      <c r="F15" s="1295"/>
      <c r="G15" s="1295"/>
      <c r="H15" s="1295"/>
      <c r="I15" s="1295"/>
      <c r="J15" s="1295"/>
      <c r="K15" s="1295"/>
      <c r="L15" s="1295"/>
      <c r="M15" s="1295"/>
      <c r="N15" s="1298"/>
      <c r="O15" s="1298"/>
      <c r="P15" s="1298"/>
    </row>
    <row r="16" spans="1:18" ht="15.5">
      <c r="B16" s="1299"/>
      <c r="C16" s="1294"/>
      <c r="D16" s="1292"/>
      <c r="E16" s="1292"/>
      <c r="F16" s="1292"/>
      <c r="G16" s="1292"/>
      <c r="H16" s="1292"/>
      <c r="I16" s="1292"/>
      <c r="J16" s="1292"/>
      <c r="K16" s="1292"/>
      <c r="L16" s="1292"/>
      <c r="M16" s="1292"/>
      <c r="N16" s="407"/>
      <c r="O16" s="407"/>
      <c r="P16" s="407"/>
    </row>
    <row r="17" spans="2:18" ht="62">
      <c r="B17" s="1300" t="s">
        <v>689</v>
      </c>
      <c r="C17" s="1294"/>
      <c r="D17" s="1301" t="s">
        <v>690</v>
      </c>
      <c r="E17" s="1301"/>
      <c r="F17" s="1301" t="s">
        <v>691</v>
      </c>
      <c r="G17" s="1301"/>
      <c r="H17" s="1301" t="s">
        <v>692</v>
      </c>
      <c r="I17" s="1292"/>
      <c r="J17" s="1302" t="s">
        <v>693</v>
      </c>
      <c r="K17" s="1292"/>
      <c r="L17" s="1301" t="s">
        <v>910</v>
      </c>
      <c r="M17" s="1303"/>
      <c r="N17" s="1302" t="s">
        <v>694</v>
      </c>
      <c r="O17" s="1304"/>
      <c r="P17" s="1301" t="s">
        <v>696</v>
      </c>
    </row>
    <row r="18" spans="2:18" ht="15.5">
      <c r="B18" s="1305"/>
      <c r="C18" s="1294"/>
      <c r="D18" s="407"/>
      <c r="E18" s="407"/>
      <c r="F18" s="407"/>
      <c r="G18" s="407"/>
      <c r="H18" s="407"/>
      <c r="I18" s="1864"/>
      <c r="J18" s="1864"/>
      <c r="K18" s="1864"/>
      <c r="N18" s="407"/>
      <c r="O18" s="407"/>
      <c r="P18" s="407"/>
    </row>
    <row r="19" spans="2:18" ht="15.5">
      <c r="B19" s="1342" t="s">
        <v>697</v>
      </c>
      <c r="C19" s="1294"/>
      <c r="D19" s="1294"/>
      <c r="E19" s="1294"/>
      <c r="F19" s="1294"/>
      <c r="G19" s="1294"/>
      <c r="H19" s="1294"/>
      <c r="I19" s="1294"/>
      <c r="J19" s="1294"/>
      <c r="K19" s="1294"/>
      <c r="L19" s="407"/>
      <c r="M19" s="407"/>
      <c r="N19" s="1303"/>
      <c r="O19" s="1294"/>
      <c r="P19" s="1294"/>
    </row>
    <row r="20" spans="2:18" ht="15.5">
      <c r="B20" s="1308" t="s">
        <v>125</v>
      </c>
      <c r="C20" s="1294"/>
      <c r="D20" s="1294"/>
      <c r="E20" s="1294"/>
      <c r="F20" s="1294"/>
      <c r="G20" s="1294"/>
      <c r="H20" s="1294"/>
      <c r="I20" s="1294"/>
      <c r="J20" s="1294"/>
      <c r="K20" s="1294"/>
      <c r="L20" s="407"/>
      <c r="M20" s="407"/>
      <c r="N20" s="1303"/>
      <c r="O20" s="1294"/>
      <c r="P20" s="1294"/>
    </row>
    <row r="21" spans="2:18" ht="15.5">
      <c r="B21" s="1309">
        <f t="shared" ref="B21:B32" si="0">DATE($J$11,R21,1)</f>
        <v>43466</v>
      </c>
      <c r="C21" s="1275"/>
      <c r="D21" s="1865">
        <f>F13/12</f>
        <v>-1.8617933333333336</v>
      </c>
      <c r="E21" s="1866"/>
      <c r="F21" s="1865">
        <v>0</v>
      </c>
      <c r="G21" s="1865"/>
      <c r="H21" s="1865">
        <v>0</v>
      </c>
      <c r="I21" s="1865"/>
      <c r="J21" s="1865">
        <f>F21+H21</f>
        <v>0</v>
      </c>
      <c r="K21" s="1866"/>
      <c r="L21" s="1312">
        <f>+'SWT WS Q Interest Rate'!E13</f>
        <v>4.4000000000000003E-3</v>
      </c>
      <c r="M21" s="1313"/>
      <c r="N21" s="1865">
        <f t="shared" ref="N21:N32" si="1">J21*L21</f>
        <v>0</v>
      </c>
      <c r="O21" s="1865"/>
      <c r="P21" s="1865">
        <f>D21+N21</f>
        <v>-1.8617933333333336</v>
      </c>
      <c r="R21" s="397">
        <v>1</v>
      </c>
    </row>
    <row r="22" spans="2:18" ht="15.5">
      <c r="B22" s="1309">
        <f t="shared" si="0"/>
        <v>43497</v>
      </c>
      <c r="C22" s="1275"/>
      <c r="D22" s="1865">
        <f>+D21</f>
        <v>-1.8617933333333336</v>
      </c>
      <c r="E22" s="1866"/>
      <c r="F22" s="1865">
        <f>D21</f>
        <v>-1.8617933333333336</v>
      </c>
      <c r="G22" s="1865"/>
      <c r="H22" s="1865">
        <v>0</v>
      </c>
      <c r="I22" s="1865"/>
      <c r="J22" s="1865">
        <f t="shared" ref="J22:J31" si="2">F22+H22</f>
        <v>-1.8617933333333336</v>
      </c>
      <c r="K22" s="1866"/>
      <c r="L22" s="1312">
        <f>+'SWT WS Q Interest Rate'!E14</f>
        <v>4.0000000000000001E-3</v>
      </c>
      <c r="M22" s="1313"/>
      <c r="N22" s="1865">
        <f t="shared" si="1"/>
        <v>-7.4471733333333345E-3</v>
      </c>
      <c r="O22" s="1865"/>
      <c r="P22" s="1865">
        <f>SUM($D$21:D22)+SUM($N$21:N22)</f>
        <v>-3.7310338400000007</v>
      </c>
      <c r="R22" s="397">
        <v>2</v>
      </c>
    </row>
    <row r="23" spans="2:18" ht="15.5">
      <c r="B23" s="1309">
        <f t="shared" si="0"/>
        <v>43525</v>
      </c>
      <c r="C23" s="1275"/>
      <c r="D23" s="1865">
        <f>+D22</f>
        <v>-1.8617933333333336</v>
      </c>
      <c r="E23" s="1866"/>
      <c r="F23" s="1865">
        <f>D22+F22</f>
        <v>-3.7235866666666673</v>
      </c>
      <c r="G23" s="1865"/>
      <c r="H23" s="1865">
        <v>0</v>
      </c>
      <c r="I23" s="1865"/>
      <c r="J23" s="1865">
        <f t="shared" si="2"/>
        <v>-3.7235866666666673</v>
      </c>
      <c r="K23" s="1866"/>
      <c r="L23" s="1312">
        <f>+'SWT WS Q Interest Rate'!E15</f>
        <v>4.4000000000000003E-3</v>
      </c>
      <c r="M23" s="1313"/>
      <c r="N23" s="1865">
        <f t="shared" si="1"/>
        <v>-1.6383781333333337E-2</v>
      </c>
      <c r="O23" s="1865"/>
      <c r="P23" s="1865">
        <f>SUM($D$21:D23)+SUM($N$21:N23)</f>
        <v>-5.6092109546666675</v>
      </c>
      <c r="R23" s="397">
        <v>3</v>
      </c>
    </row>
    <row r="24" spans="2:18" ht="15.5">
      <c r="B24" s="1309">
        <f t="shared" si="0"/>
        <v>43556</v>
      </c>
      <c r="C24" s="1275"/>
      <c r="D24" s="1865">
        <f>+D23</f>
        <v>-1.8617933333333336</v>
      </c>
      <c r="E24" s="1866"/>
      <c r="F24" s="1865">
        <f t="shared" ref="F24:F30" si="3">D23+F23</f>
        <v>-5.5853800000000007</v>
      </c>
      <c r="G24" s="1865"/>
      <c r="H24" s="1865">
        <f>SUM($N$21:$N$23)</f>
        <v>-2.3830954666666671E-2</v>
      </c>
      <c r="I24" s="1865"/>
      <c r="J24" s="1865">
        <f t="shared" si="2"/>
        <v>-5.6092109546666675</v>
      </c>
      <c r="K24" s="1866"/>
      <c r="L24" s="1312">
        <f>+'SWT WS Q Interest Rate'!E16</f>
        <v>4.4999999999999997E-3</v>
      </c>
      <c r="M24" s="1313"/>
      <c r="N24" s="1865">
        <f t="shared" si="1"/>
        <v>-2.5241449296000001E-2</v>
      </c>
      <c r="O24" s="1865"/>
      <c r="P24" s="1865">
        <f>SUM($D$21:D24)+SUM($N$21:N24)</f>
        <v>-7.4962457372960012</v>
      </c>
      <c r="R24" s="397">
        <v>4</v>
      </c>
    </row>
    <row r="25" spans="2:18" ht="15.5">
      <c r="B25" s="1309">
        <f t="shared" si="0"/>
        <v>43586</v>
      </c>
      <c r="C25" s="1275"/>
      <c r="D25" s="1865">
        <f t="shared" ref="D25:D30" si="4">+D24</f>
        <v>-1.8617933333333336</v>
      </c>
      <c r="E25" s="1866"/>
      <c r="F25" s="1865">
        <f t="shared" si="3"/>
        <v>-7.4471733333333345</v>
      </c>
      <c r="G25" s="1865"/>
      <c r="H25" s="1865">
        <f t="shared" ref="H25:H26" si="5">SUM($N$21:$N$23)</f>
        <v>-2.3830954666666671E-2</v>
      </c>
      <c r="I25" s="1865"/>
      <c r="J25" s="1865">
        <f t="shared" si="2"/>
        <v>-7.4710042880000014</v>
      </c>
      <c r="K25" s="1866"/>
      <c r="L25" s="1312">
        <f>+'SWT WS Q Interest Rate'!E17</f>
        <v>4.5999999999999999E-3</v>
      </c>
      <c r="M25" s="1313"/>
      <c r="N25" s="1865">
        <f t="shared" si="1"/>
        <v>-3.4366619724800006E-2</v>
      </c>
      <c r="O25" s="1865"/>
      <c r="P25" s="1865">
        <f>SUM($D$21:D25)+SUM($N$21:N25)</f>
        <v>-9.3924056903541349</v>
      </c>
      <c r="R25" s="397">
        <v>5</v>
      </c>
    </row>
    <row r="26" spans="2:18" ht="15.5">
      <c r="B26" s="1309">
        <f t="shared" si="0"/>
        <v>43617</v>
      </c>
      <c r="C26" s="1275"/>
      <c r="D26" s="1865">
        <f t="shared" si="4"/>
        <v>-1.8617933333333336</v>
      </c>
      <c r="E26" s="1866"/>
      <c r="F26" s="1865">
        <f t="shared" si="3"/>
        <v>-9.3089666666666684</v>
      </c>
      <c r="G26" s="1865"/>
      <c r="H26" s="1865">
        <f t="shared" si="5"/>
        <v>-2.3830954666666671E-2</v>
      </c>
      <c r="I26" s="1865"/>
      <c r="J26" s="1865">
        <f t="shared" si="2"/>
        <v>-9.3327976213333343</v>
      </c>
      <c r="K26" s="1866"/>
      <c r="L26" s="1312">
        <f>+'SWT WS Q Interest Rate'!E18</f>
        <v>4.4999999999999997E-3</v>
      </c>
      <c r="M26" s="1313"/>
      <c r="N26" s="1865">
        <f t="shared" si="1"/>
        <v>-4.1997589296000004E-2</v>
      </c>
      <c r="O26" s="1865"/>
      <c r="P26" s="1865">
        <f>SUM($D$21:D26)+SUM($N$21:N26)</f>
        <v>-11.296196612983469</v>
      </c>
      <c r="R26" s="397">
        <v>6</v>
      </c>
    </row>
    <row r="27" spans="2:18" ht="15.5">
      <c r="B27" s="1309">
        <f t="shared" si="0"/>
        <v>43647</v>
      </c>
      <c r="C27" s="1275"/>
      <c r="D27" s="1865">
        <f t="shared" si="4"/>
        <v>-1.8617933333333336</v>
      </c>
      <c r="E27" s="1866"/>
      <c r="F27" s="1865">
        <f t="shared" si="3"/>
        <v>-11.170760000000001</v>
      </c>
      <c r="G27" s="1865"/>
      <c r="H27" s="1865">
        <f>$H$26+SUM($N$24:$N$26)</f>
        <v>-0.1254366129834667</v>
      </c>
      <c r="I27" s="1865"/>
      <c r="J27" s="1865">
        <f t="shared" si="2"/>
        <v>-11.296196612983469</v>
      </c>
      <c r="K27" s="1866"/>
      <c r="L27" s="1312">
        <f>+'SWT WS Q Interest Rate'!E19</f>
        <v>4.7000000000000002E-3</v>
      </c>
      <c r="M27" s="1313"/>
      <c r="N27" s="1865">
        <f t="shared" si="1"/>
        <v>-5.3092124081022304E-2</v>
      </c>
      <c r="O27" s="1865"/>
      <c r="P27" s="1865">
        <f>SUM($D$21:D27)+SUM($N$21:N27)</f>
        <v>-13.211082070397824</v>
      </c>
      <c r="R27" s="397">
        <v>7</v>
      </c>
    </row>
    <row r="28" spans="2:18" ht="15.5">
      <c r="B28" s="1309">
        <f t="shared" si="0"/>
        <v>43678</v>
      </c>
      <c r="C28" s="1275"/>
      <c r="D28" s="1865">
        <f t="shared" si="4"/>
        <v>-1.8617933333333336</v>
      </c>
      <c r="E28" s="1866"/>
      <c r="F28" s="1865">
        <f t="shared" si="3"/>
        <v>-13.032553333333334</v>
      </c>
      <c r="G28" s="1865"/>
      <c r="H28" s="1865">
        <f>$H$26+SUM($N$24:$N$26)</f>
        <v>-0.1254366129834667</v>
      </c>
      <c r="I28" s="1865"/>
      <c r="J28" s="1865">
        <f t="shared" si="2"/>
        <v>-13.157989946316802</v>
      </c>
      <c r="K28" s="1866"/>
      <c r="L28" s="1312">
        <f>+'SWT WS Q Interest Rate'!E20</f>
        <v>4.7000000000000002E-3</v>
      </c>
      <c r="M28" s="1313"/>
      <c r="N28" s="1865">
        <f t="shared" si="1"/>
        <v>-6.1842552747688968E-2</v>
      </c>
      <c r="O28" s="1865"/>
      <c r="P28" s="1865">
        <f>SUM($D$21:D28)+SUM($N$21:N28)</f>
        <v>-15.134717956478845</v>
      </c>
      <c r="R28" s="397">
        <v>8</v>
      </c>
    </row>
    <row r="29" spans="2:18" ht="15.5">
      <c r="B29" s="1309">
        <f t="shared" si="0"/>
        <v>43709</v>
      </c>
      <c r="C29" s="1275"/>
      <c r="D29" s="1865">
        <f t="shared" si="4"/>
        <v>-1.8617933333333336</v>
      </c>
      <c r="E29" s="1866"/>
      <c r="F29" s="1865">
        <f t="shared" si="3"/>
        <v>-14.894346666666667</v>
      </c>
      <c r="G29" s="1865"/>
      <c r="H29" s="1865">
        <f>$H$26+SUM($N$24:$N$26)</f>
        <v>-0.1254366129834667</v>
      </c>
      <c r="I29" s="1865"/>
      <c r="J29" s="1865">
        <f t="shared" si="2"/>
        <v>-15.019783279650134</v>
      </c>
      <c r="K29" s="1866"/>
      <c r="L29" s="1312">
        <f>+'SWT WS Q Interest Rate'!E21</f>
        <v>4.4999999999999997E-3</v>
      </c>
      <c r="M29" s="1313"/>
      <c r="N29" s="1865">
        <f t="shared" si="1"/>
        <v>-6.7589024758425598E-2</v>
      </c>
      <c r="O29" s="1865"/>
      <c r="P29" s="1865">
        <f>SUM($D$21:D29)+SUM($N$21:N29)</f>
        <v>-17.064100314570606</v>
      </c>
      <c r="R29" s="397">
        <v>9</v>
      </c>
    </row>
    <row r="30" spans="2:18" ht="15.5">
      <c r="B30" s="1309">
        <f t="shared" si="0"/>
        <v>43739</v>
      </c>
      <c r="C30" s="1275"/>
      <c r="D30" s="1865">
        <f t="shared" si="4"/>
        <v>-1.8617933333333336</v>
      </c>
      <c r="E30" s="1866"/>
      <c r="F30" s="1865">
        <f t="shared" si="3"/>
        <v>-16.756140000000002</v>
      </c>
      <c r="G30" s="1865"/>
      <c r="H30" s="1865">
        <f>$H$29+SUM($N$27:$N$29)</f>
        <v>-0.30796031457060358</v>
      </c>
      <c r="I30" s="1865"/>
      <c r="J30" s="1865">
        <f t="shared" si="2"/>
        <v>-17.064100314570606</v>
      </c>
      <c r="K30" s="1866"/>
      <c r="L30" s="1312">
        <f>+'SWT WS Q Interest Rate'!E22</f>
        <v>4.5999999999999999E-3</v>
      </c>
      <c r="M30" s="1313"/>
      <c r="N30" s="1865">
        <f t="shared" si="1"/>
        <v>-7.8494861447024791E-2</v>
      </c>
      <c r="O30" s="1865"/>
      <c r="P30" s="1865">
        <f>SUM($D$21:D30)+SUM($N$21:N30)</f>
        <v>-19.004388509350964</v>
      </c>
      <c r="R30" s="397">
        <v>10</v>
      </c>
    </row>
    <row r="31" spans="2:18" ht="15.5">
      <c r="B31" s="1309">
        <f t="shared" si="0"/>
        <v>43770</v>
      </c>
      <c r="C31" s="1275"/>
      <c r="D31" s="1865">
        <f>+D30</f>
        <v>-1.8617933333333336</v>
      </c>
      <c r="E31" s="1866"/>
      <c r="F31" s="1865">
        <f>D30+F30</f>
        <v>-18.617933333333337</v>
      </c>
      <c r="G31" s="1865"/>
      <c r="H31" s="1865">
        <f>$H$29+SUM($N$27:$N$29)</f>
        <v>-0.30796031457060358</v>
      </c>
      <c r="I31" s="1865"/>
      <c r="J31" s="1865">
        <f t="shared" si="2"/>
        <v>-18.925893647903941</v>
      </c>
      <c r="K31" s="1866"/>
      <c r="L31" s="1312">
        <f>+'SWT WS Q Interest Rate'!E23</f>
        <v>4.4999999999999997E-3</v>
      </c>
      <c r="M31" s="1313"/>
      <c r="N31" s="1865">
        <f t="shared" si="1"/>
        <v>-8.5166521415567728E-2</v>
      </c>
      <c r="O31" s="1865"/>
      <c r="P31" s="1865">
        <f>SUM($D$21:D31)+SUM($N$21:N31)</f>
        <v>-20.951348364099868</v>
      </c>
      <c r="R31" s="397">
        <v>11</v>
      </c>
    </row>
    <row r="32" spans="2:18" ht="15.5">
      <c r="B32" s="1309">
        <f t="shared" si="0"/>
        <v>43800</v>
      </c>
      <c r="C32" s="1275"/>
      <c r="D32" s="1865">
        <f>+D31</f>
        <v>-1.8617933333333336</v>
      </c>
      <c r="E32" s="1866"/>
      <c r="F32" s="1865">
        <f>D31+F31</f>
        <v>-20.479726666666672</v>
      </c>
      <c r="G32" s="1865"/>
      <c r="H32" s="1865">
        <f>$H$29+SUM($N$27:$N$29)</f>
        <v>-0.30796031457060358</v>
      </c>
      <c r="I32" s="1865"/>
      <c r="J32" s="1865">
        <f>F32+H32</f>
        <v>-20.787686981237275</v>
      </c>
      <c r="K32" s="1866"/>
      <c r="L32" s="1312">
        <f>+'SWT WS Q Interest Rate'!E24</f>
        <v>4.5999999999999999E-3</v>
      </c>
      <c r="M32" s="1313"/>
      <c r="N32" s="1865">
        <f t="shared" si="1"/>
        <v>-9.5623360113691463E-2</v>
      </c>
      <c r="O32" s="1865"/>
      <c r="P32" s="1865">
        <f>SUM($D$21:D32)+SUM($N$21:N32)</f>
        <v>-22.908765057546894</v>
      </c>
      <c r="R32" s="397">
        <v>12</v>
      </c>
    </row>
    <row r="33" spans="2:20" ht="15.5">
      <c r="B33" s="1275"/>
      <c r="C33" s="1275"/>
      <c r="D33" s="1865"/>
      <c r="E33" s="1866"/>
      <c r="F33" s="1865"/>
      <c r="G33" s="1865"/>
      <c r="H33" s="1865"/>
      <c r="I33" s="1865"/>
      <c r="J33" s="1865"/>
      <c r="K33" s="1866"/>
      <c r="L33" s="1294"/>
      <c r="M33" s="1275"/>
      <c r="N33" s="1867"/>
      <c r="O33" s="1865"/>
      <c r="P33" s="1868"/>
    </row>
    <row r="34" spans="2:20" ht="15.5">
      <c r="B34" s="1308" t="s">
        <v>698</v>
      </c>
      <c r="C34" s="1275"/>
      <c r="D34" s="1865"/>
      <c r="E34" s="1866"/>
      <c r="F34" s="1865"/>
      <c r="G34" s="1865"/>
      <c r="H34" s="1865"/>
      <c r="I34" s="1865"/>
      <c r="J34" s="1865"/>
      <c r="K34" s="1866"/>
      <c r="L34" s="1294"/>
      <c r="M34" s="1275"/>
      <c r="N34" s="1865"/>
      <c r="O34" s="1865"/>
      <c r="P34" s="1869"/>
    </row>
    <row r="35" spans="2:20" ht="15.5">
      <c r="B35" s="1309">
        <f t="shared" ref="B35:B40" si="6">DATE($J$12,R35,1)</f>
        <v>43831</v>
      </c>
      <c r="C35" s="1275"/>
      <c r="D35" s="1865">
        <v>0</v>
      </c>
      <c r="E35" s="1866"/>
      <c r="F35" s="1865">
        <f>D32+F32</f>
        <v>-22.341520000000006</v>
      </c>
      <c r="G35" s="1865"/>
      <c r="H35" s="1865">
        <f>$H$32+SUM($N$30:$N$32)</f>
        <v>-0.56724505754688759</v>
      </c>
      <c r="I35" s="1865"/>
      <c r="J35" s="1865">
        <f>F35+H35</f>
        <v>-22.908765057546894</v>
      </c>
      <c r="K35" s="1866"/>
      <c r="L35" s="1312">
        <f>+'SWT WS Q Interest Rate'!E25</f>
        <v>4.1999999999999997E-3</v>
      </c>
      <c r="M35" s="1313"/>
      <c r="N35" s="1865">
        <f t="shared" ref="N35:N40" si="7">J35*L35</f>
        <v>-9.6216813241696952E-2</v>
      </c>
      <c r="O35" s="1865"/>
      <c r="P35" s="1865">
        <f>SUM($D$21:D35)+SUM($N$21:N35)</f>
        <v>-23.00498187078859</v>
      </c>
      <c r="R35" s="397">
        <v>1</v>
      </c>
    </row>
    <row r="36" spans="2:20" ht="15.5">
      <c r="B36" s="1309">
        <f t="shared" si="6"/>
        <v>43862</v>
      </c>
      <c r="C36" s="1275"/>
      <c r="D36" s="1865">
        <v>0</v>
      </c>
      <c r="E36" s="1866"/>
      <c r="F36" s="1865">
        <f>D35+F35</f>
        <v>-22.341520000000006</v>
      </c>
      <c r="G36" s="1865"/>
      <c r="H36" s="1865">
        <f>$H$32+SUM($N$30:$N$32)</f>
        <v>-0.56724505754688759</v>
      </c>
      <c r="I36" s="1865"/>
      <c r="J36" s="1865">
        <f>F36+H36</f>
        <v>-22.908765057546894</v>
      </c>
      <c r="K36" s="1866"/>
      <c r="L36" s="1312">
        <f>+'SWT WS Q Interest Rate'!E26</f>
        <v>3.8999999999999998E-3</v>
      </c>
      <c r="M36" s="1313"/>
      <c r="N36" s="1865">
        <f t="shared" si="7"/>
        <v>-8.9344183724432882E-2</v>
      </c>
      <c r="O36" s="1865"/>
      <c r="P36" s="1865">
        <f>SUM($D$21:D36)+SUM($N$21:N36)</f>
        <v>-23.094326054513022</v>
      </c>
      <c r="R36" s="397">
        <v>2</v>
      </c>
    </row>
    <row r="37" spans="2:20" ht="15.5">
      <c r="B37" s="1309">
        <f t="shared" si="6"/>
        <v>43891</v>
      </c>
      <c r="C37" s="1275"/>
      <c r="D37" s="1865">
        <v>0</v>
      </c>
      <c r="E37" s="1866"/>
      <c r="F37" s="1865">
        <f t="shared" ref="F37:F40" si="8">D36+F36</f>
        <v>-22.341520000000006</v>
      </c>
      <c r="G37" s="1865"/>
      <c r="H37" s="1865">
        <f>$H$32+SUM($N$30:$N$32)</f>
        <v>-0.56724505754688759</v>
      </c>
      <c r="I37" s="1865"/>
      <c r="J37" s="1865">
        <f t="shared" ref="J37:J40" si="9">F37+H37</f>
        <v>-22.908765057546894</v>
      </c>
      <c r="K37" s="1866"/>
      <c r="L37" s="1312">
        <f>+'SWT WS Q Interest Rate'!E27</f>
        <v>4.1999999999999997E-3</v>
      </c>
      <c r="M37" s="1313"/>
      <c r="N37" s="1865">
        <f t="shared" si="7"/>
        <v>-9.6216813241696952E-2</v>
      </c>
      <c r="O37" s="1865"/>
      <c r="P37" s="1865">
        <f>SUM($D$21:D37)+SUM($N$21:N37)</f>
        <v>-23.190542867754722</v>
      </c>
      <c r="R37" s="397">
        <v>3</v>
      </c>
    </row>
    <row r="38" spans="2:20" ht="15.5">
      <c r="B38" s="1309">
        <f t="shared" si="6"/>
        <v>43922</v>
      </c>
      <c r="C38" s="1275"/>
      <c r="D38" s="1865">
        <v>0</v>
      </c>
      <c r="E38" s="1866"/>
      <c r="F38" s="1865">
        <f t="shared" si="8"/>
        <v>-22.341520000000006</v>
      </c>
      <c r="G38" s="1865"/>
      <c r="H38" s="1865">
        <f>$H$37+SUM($N$35:$N$37)</f>
        <v>-0.84902286775471436</v>
      </c>
      <c r="I38" s="1865"/>
      <c r="J38" s="1865">
        <f>F38+H38</f>
        <v>-23.190542867754722</v>
      </c>
      <c r="K38" s="1866"/>
      <c r="L38" s="1312">
        <f>+'SWT WS Q Interest Rate'!E28</f>
        <v>3.8999999999999998E-3</v>
      </c>
      <c r="M38" s="1313"/>
      <c r="N38" s="1865">
        <f t="shared" si="7"/>
        <v>-9.0443117184243416E-2</v>
      </c>
      <c r="O38" s="1865"/>
      <c r="P38" s="1865">
        <f>SUM($D$21:D38)+SUM($N$21:N38)</f>
        <v>-23.280985984938965</v>
      </c>
      <c r="R38" s="397">
        <v>4</v>
      </c>
    </row>
    <row r="39" spans="2:20" ht="15.5">
      <c r="B39" s="1309">
        <f t="shared" si="6"/>
        <v>43952</v>
      </c>
      <c r="C39" s="1275"/>
      <c r="D39" s="1865">
        <v>0</v>
      </c>
      <c r="E39" s="1866"/>
      <c r="F39" s="1865">
        <f t="shared" si="8"/>
        <v>-22.341520000000006</v>
      </c>
      <c r="G39" s="1865"/>
      <c r="H39" s="1865">
        <f>$H$37+SUM($N$35:$N$37)</f>
        <v>-0.84902286775471436</v>
      </c>
      <c r="I39" s="1865"/>
      <c r="J39" s="1865">
        <f t="shared" si="9"/>
        <v>-23.190542867754722</v>
      </c>
      <c r="K39" s="1866"/>
      <c r="L39" s="1312">
        <f>+'SWT WS Q Interest Rate'!E29</f>
        <v>4.0000000000000001E-3</v>
      </c>
      <c r="M39" s="1313"/>
      <c r="N39" s="1865">
        <f t="shared" si="7"/>
        <v>-9.2762171471018895E-2</v>
      </c>
      <c r="O39" s="1865"/>
      <c r="P39" s="1865">
        <f>SUM($D$21:D39)+SUM($N$21:N39)</f>
        <v>-23.373748156409984</v>
      </c>
      <c r="R39" s="397">
        <v>5</v>
      </c>
    </row>
    <row r="40" spans="2:20" ht="16" thickBot="1">
      <c r="B40" s="1324">
        <f t="shared" si="6"/>
        <v>43983</v>
      </c>
      <c r="C40" s="1325"/>
      <c r="D40" s="1873">
        <v>0</v>
      </c>
      <c r="E40" s="1880"/>
      <c r="F40" s="1873">
        <f t="shared" si="8"/>
        <v>-22.341520000000006</v>
      </c>
      <c r="G40" s="1873"/>
      <c r="H40" s="1873">
        <f>$H$37+SUM($N$35:$N$37)</f>
        <v>-0.84902286775471436</v>
      </c>
      <c r="I40" s="1873"/>
      <c r="J40" s="1873">
        <f t="shared" si="9"/>
        <v>-23.190542867754722</v>
      </c>
      <c r="K40" s="1880"/>
      <c r="L40" s="1327">
        <f>+'SWT WS Q Interest Rate'!E30</f>
        <v>3.8999999999999998E-3</v>
      </c>
      <c r="M40" s="1344"/>
      <c r="N40" s="1873">
        <f t="shared" si="7"/>
        <v>-9.0443117184243416E-2</v>
      </c>
      <c r="O40" s="1873"/>
      <c r="P40" s="1873">
        <f>SUM($D$21:D40)+SUM($N$21:N40)</f>
        <v>-23.464191273594228</v>
      </c>
      <c r="R40" s="397">
        <v>6</v>
      </c>
    </row>
    <row r="41" spans="2:20" ht="15.5">
      <c r="B41" s="1275"/>
      <c r="C41" s="1275"/>
      <c r="D41" s="1292"/>
      <c r="E41" s="1292"/>
      <c r="F41" s="1292"/>
      <c r="G41" s="1292"/>
      <c r="H41" s="1292"/>
      <c r="I41" s="1292"/>
      <c r="J41" s="1292"/>
      <c r="K41" s="1292"/>
      <c r="L41" s="1275"/>
      <c r="M41" s="1275"/>
      <c r="N41" s="1865"/>
      <c r="O41" s="1865"/>
      <c r="P41" s="1865"/>
    </row>
    <row r="42" spans="2:20" ht="15.5">
      <c r="B42" s="407"/>
      <c r="C42" s="407"/>
      <c r="D42" s="407"/>
      <c r="E42" s="407"/>
      <c r="F42" s="407"/>
      <c r="G42" s="407"/>
      <c r="H42" s="407"/>
      <c r="I42" s="407"/>
      <c r="J42" s="407"/>
      <c r="K42" s="407"/>
      <c r="L42" s="407"/>
      <c r="M42" s="407"/>
      <c r="N42" s="1869"/>
      <c r="O42" s="1869"/>
      <c r="P42" s="1869"/>
    </row>
    <row r="43" spans="2:20" ht="15.5">
      <c r="B43" s="1328" t="s">
        <v>700</v>
      </c>
      <c r="C43" s="1329"/>
      <c r="D43" s="1329"/>
      <c r="E43" s="1329"/>
      <c r="F43" s="1329"/>
      <c r="G43" s="1329"/>
      <c r="H43" s="1329"/>
      <c r="I43" s="1329"/>
      <c r="J43" s="1329"/>
      <c r="K43" s="1329"/>
      <c r="L43" s="1329"/>
      <c r="M43" s="1329"/>
      <c r="N43" s="1345"/>
      <c r="O43" s="1874"/>
      <c r="P43" s="1875">
        <f>P40</f>
        <v>-23.464191273594228</v>
      </c>
    </row>
    <row r="44" spans="2:20" ht="15.5">
      <c r="B44" s="1332" t="s">
        <v>701</v>
      </c>
      <c r="C44" s="1333"/>
      <c r="D44" s="1333"/>
      <c r="E44" s="1333"/>
      <c r="F44" s="1333"/>
      <c r="G44" s="1333"/>
      <c r="H44" s="1333"/>
      <c r="I44" s="1333"/>
      <c r="J44" s="1333"/>
      <c r="K44" s="1333"/>
      <c r="L44" s="1333"/>
      <c r="M44" s="1333"/>
      <c r="N44" s="1346"/>
      <c r="O44" s="1876"/>
      <c r="P44" s="1867">
        <f>+F13</f>
        <v>-22.341520000000003</v>
      </c>
    </row>
    <row r="45" spans="2:20" ht="15.5">
      <c r="B45" s="1335" t="s">
        <v>702</v>
      </c>
      <c r="C45" s="1336"/>
      <c r="D45" s="1336"/>
      <c r="E45" s="1336"/>
      <c r="F45" s="1336"/>
      <c r="G45" s="1336"/>
      <c r="H45" s="1336"/>
      <c r="I45" s="1336"/>
      <c r="J45" s="1336"/>
      <c r="K45" s="1336"/>
      <c r="L45" s="1336"/>
      <c r="M45" s="1336"/>
      <c r="N45" s="1347"/>
      <c r="O45" s="1877"/>
      <c r="P45" s="1878">
        <f>P43-P44</f>
        <v>-1.122671273594225</v>
      </c>
    </row>
    <row r="46" spans="2:20">
      <c r="B46" s="279"/>
      <c r="C46" s="279"/>
      <c r="D46" s="279"/>
      <c r="E46" s="279"/>
      <c r="F46" s="279"/>
      <c r="G46" s="279"/>
      <c r="H46" s="279"/>
      <c r="I46" s="279"/>
      <c r="J46" s="279"/>
      <c r="K46" s="279"/>
      <c r="L46" s="279"/>
      <c r="M46" s="279"/>
      <c r="N46" s="279"/>
      <c r="O46" s="279"/>
      <c r="P46" s="279"/>
    </row>
    <row r="47" spans="2:20" ht="15.5">
      <c r="B47" s="2067" t="s">
        <v>902</v>
      </c>
      <c r="C47" s="2067"/>
      <c r="D47" s="2067"/>
      <c r="E47" s="2067"/>
      <c r="F47" s="2067"/>
      <c r="G47" s="2067"/>
      <c r="H47" s="2067"/>
      <c r="I47" s="2067"/>
      <c r="J47" s="2067"/>
      <c r="K47" s="2067"/>
      <c r="L47" s="2067"/>
      <c r="M47" s="2067"/>
      <c r="N47" s="2067"/>
      <c r="O47" s="1339"/>
      <c r="P47" s="1339"/>
      <c r="T47" s="1871"/>
    </row>
    <row r="48" spans="2:20" ht="17.25" customHeight="1">
      <c r="B48" s="2067"/>
      <c r="C48" s="2067"/>
      <c r="D48" s="2067"/>
      <c r="E48" s="2067"/>
      <c r="F48" s="2067"/>
      <c r="G48" s="2067"/>
      <c r="H48" s="2067"/>
      <c r="I48" s="2067"/>
      <c r="J48" s="2067"/>
      <c r="K48" s="2067"/>
      <c r="L48" s="2067"/>
      <c r="M48" s="2067"/>
      <c r="N48" s="2067"/>
      <c r="O48" s="279"/>
      <c r="P48" s="279"/>
    </row>
    <row r="50" spans="2:14">
      <c r="B50" s="2063" t="s">
        <v>903</v>
      </c>
      <c r="C50" s="2063"/>
      <c r="D50" s="2063"/>
      <c r="E50" s="2063"/>
      <c r="F50" s="2063"/>
      <c r="G50" s="2063"/>
      <c r="H50" s="2063"/>
      <c r="I50" s="2063"/>
      <c r="J50" s="2063"/>
      <c r="K50" s="2063"/>
      <c r="L50" s="2063"/>
      <c r="M50" s="2063"/>
      <c r="N50" s="2063"/>
    </row>
    <row r="51" spans="2:14" ht="21.75" customHeight="1">
      <c r="B51" s="2063"/>
      <c r="C51" s="2063"/>
      <c r="D51" s="2063"/>
      <c r="E51" s="2063"/>
      <c r="F51" s="2063"/>
      <c r="G51" s="2063"/>
      <c r="H51" s="2063"/>
      <c r="I51" s="2063"/>
      <c r="J51" s="2063"/>
      <c r="K51" s="2063"/>
      <c r="L51" s="2063"/>
      <c r="M51" s="2063"/>
      <c r="N51" s="2063"/>
    </row>
    <row r="53" spans="2:14" ht="15.5">
      <c r="B53" s="1305"/>
    </row>
    <row r="68" ht="15.75" customHeight="1"/>
    <row r="69" ht="12.75" customHeight="1"/>
    <row r="70" ht="15" customHeight="1"/>
  </sheetData>
  <mergeCells count="6">
    <mergeCell ref="B50:N51"/>
    <mergeCell ref="B4:P4"/>
    <mergeCell ref="B5:P5"/>
    <mergeCell ref="B6:P6"/>
    <mergeCell ref="B7:P7"/>
    <mergeCell ref="B47:N48"/>
  </mergeCells>
  <pageMargins left="0.7" right="0.7" top="0.75" bottom="0.75" header="0.3" footer="0.3"/>
  <pageSetup scale="49" fitToHeight="0" orientation="portrait" r:id="rId1"/>
  <headerFooter>
    <oddHeader>&amp;RAEP - SPP Transco Formula Rate
TCOS - WS P
Page: &amp;P of &amp;N</oddHeader>
  </headerFooter>
  <colBreaks count="1" manualBreakCount="1">
    <brk id="14"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zoomScaleNormal="100" workbookViewId="0">
      <selection activeCell="F19" sqref="F19"/>
    </sheetView>
  </sheetViews>
  <sheetFormatPr defaultColWidth="9.1796875" defaultRowHeight="13"/>
  <cols>
    <col min="1" max="1" width="11.26953125" style="1882" customWidth="1"/>
    <col min="2" max="2" width="11.7265625" style="1882" bestFit="1" customWidth="1"/>
    <col min="3" max="3" width="23.7265625" style="1882" customWidth="1"/>
    <col min="4" max="4" width="21" style="1882" customWidth="1"/>
    <col min="5" max="5" width="9.1796875" style="1882"/>
    <col min="6" max="6" width="12" style="1882" bestFit="1" customWidth="1"/>
    <col min="7" max="7" width="18.26953125" style="1882" bestFit="1" customWidth="1"/>
    <col min="8" max="8" width="21.453125" style="397" customWidth="1"/>
    <col min="9" max="9" width="1.54296875" style="397" customWidth="1"/>
    <col min="10" max="10" width="21" style="397" customWidth="1"/>
    <col min="11" max="11" width="1.7265625" style="397" customWidth="1"/>
    <col min="12" max="12" width="18.26953125" style="397" customWidth="1"/>
    <col min="13" max="13" width="1.7265625" style="397" customWidth="1"/>
    <col min="14" max="14" width="17" style="397" customWidth="1"/>
    <col min="15" max="15" width="1.7265625" style="397" customWidth="1"/>
    <col min="16" max="16" width="18.1796875" style="397" customWidth="1"/>
    <col min="17" max="17" width="7.7265625" style="397" bestFit="1" customWidth="1"/>
    <col min="18" max="18" width="11.26953125" style="397" hidden="1" customWidth="1"/>
    <col min="19" max="19" width="9.1796875" style="397"/>
    <col min="20" max="20" width="11.26953125" style="397" customWidth="1"/>
    <col min="21" max="16384" width="9.1796875" style="397"/>
  </cols>
  <sheetData>
    <row r="1" spans="1:7" ht="15.5">
      <c r="A1" s="1881"/>
    </row>
    <row r="2" spans="1:7" ht="15.5">
      <c r="A2" s="1273"/>
    </row>
    <row r="3" spans="1:7" ht="15.5">
      <c r="A3" s="1273"/>
    </row>
    <row r="4" spans="1:7" ht="15.5">
      <c r="A4" s="1273"/>
    </row>
    <row r="5" spans="1:7" ht="15.5">
      <c r="A5" s="2069" t="str">
        <f>+'SWT TCOS'!F4</f>
        <v xml:space="preserve">AEP West SPP Member Transmission Companies </v>
      </c>
      <c r="B5" s="2069"/>
      <c r="C5" s="2069"/>
      <c r="D5" s="2069"/>
      <c r="E5" s="2069"/>
      <c r="F5" s="2069"/>
      <c r="G5" s="2069"/>
    </row>
    <row r="6" spans="1:7" ht="15.5">
      <c r="A6" s="2070" t="str">
        <f>+'SWT WS A-1 - Plant'!A3</f>
        <v xml:space="preserve">Actual / Projected 2019 Rate Year Cost of Service Formula Rate </v>
      </c>
      <c r="B6" s="2070"/>
      <c r="C6" s="2070"/>
      <c r="D6" s="2070"/>
      <c r="E6" s="2070"/>
      <c r="F6" s="2070"/>
      <c r="G6" s="2070"/>
    </row>
    <row r="7" spans="1:7" ht="15.5">
      <c r="A7" s="2070" t="s">
        <v>905</v>
      </c>
      <c r="B7" s="2070"/>
      <c r="C7" s="2070"/>
      <c r="D7" s="2070"/>
      <c r="E7" s="2070"/>
      <c r="F7" s="2070"/>
      <c r="G7" s="2070"/>
    </row>
    <row r="8" spans="1:7" ht="15.75" customHeight="1">
      <c r="A8" s="2071" t="str">
        <f>+'SWT TCOS'!F8</f>
        <v>AEP SOUTHWESTERN TRANSMISSION COMPANY</v>
      </c>
      <c r="B8" s="2071"/>
      <c r="C8" s="2071"/>
      <c r="D8" s="2071"/>
      <c r="E8" s="2071"/>
      <c r="F8" s="2071"/>
      <c r="G8" s="2071"/>
    </row>
    <row r="10" spans="1:7" ht="13.5" customHeight="1">
      <c r="A10" s="2104" t="s">
        <v>911</v>
      </c>
      <c r="B10" s="2104"/>
      <c r="C10" s="2104"/>
      <c r="D10" s="2104"/>
      <c r="E10" s="2104"/>
      <c r="F10" s="2104"/>
      <c r="G10" s="2104"/>
    </row>
    <row r="11" spans="1:7">
      <c r="G11" s="1883"/>
    </row>
    <row r="12" spans="1:7">
      <c r="A12" s="1884"/>
      <c r="B12" s="1885" t="s">
        <v>704</v>
      </c>
    </row>
    <row r="13" spans="1:7">
      <c r="A13" s="1886">
        <v>1</v>
      </c>
      <c r="C13" s="1887">
        <f>+'SWT WS N Sch 11 TU'!B19</f>
        <v>43466</v>
      </c>
      <c r="E13" s="1964">
        <v>4.4000000000000003E-3</v>
      </c>
      <c r="F13" s="1888"/>
      <c r="G13" s="1888"/>
    </row>
    <row r="14" spans="1:7">
      <c r="A14" s="1886">
        <v>2</v>
      </c>
      <c r="C14" s="1887">
        <f>+'SWT WS N Sch 11 TU'!B20</f>
        <v>43497</v>
      </c>
      <c r="E14" s="1964">
        <v>4.0000000000000001E-3</v>
      </c>
      <c r="F14" s="1888"/>
      <c r="G14" s="1888"/>
    </row>
    <row r="15" spans="1:7">
      <c r="A15" s="1886">
        <v>3</v>
      </c>
      <c r="C15" s="1887">
        <f>+'SWT WS N Sch 11 TU'!B21</f>
        <v>43525</v>
      </c>
      <c r="E15" s="1964">
        <v>4.4000000000000003E-3</v>
      </c>
      <c r="F15" s="1888"/>
      <c r="G15" s="1888"/>
    </row>
    <row r="16" spans="1:7">
      <c r="A16" s="1886">
        <v>4</v>
      </c>
      <c r="C16" s="1887">
        <f>+'SWT WS N Sch 11 TU'!B22</f>
        <v>43556</v>
      </c>
      <c r="E16" s="1964">
        <v>4.4999999999999997E-3</v>
      </c>
      <c r="F16" s="1888"/>
      <c r="G16" s="1888"/>
    </row>
    <row r="17" spans="1:7">
      <c r="A17" s="1886">
        <v>5</v>
      </c>
      <c r="C17" s="1887">
        <f>+'SWT WS N Sch 11 TU'!B23</f>
        <v>43586</v>
      </c>
      <c r="E17" s="1964">
        <v>4.5999999999999999E-3</v>
      </c>
      <c r="F17" s="1889"/>
      <c r="G17" s="1888"/>
    </row>
    <row r="18" spans="1:7">
      <c r="A18" s="1886">
        <v>6</v>
      </c>
      <c r="C18" s="1887">
        <f>+'SWT WS N Sch 11 TU'!B24</f>
        <v>43617</v>
      </c>
      <c r="E18" s="1964">
        <v>4.4999999999999997E-3</v>
      </c>
      <c r="F18" s="1888"/>
      <c r="G18" s="1888"/>
    </row>
    <row r="19" spans="1:7">
      <c r="A19" s="1886">
        <v>7</v>
      </c>
      <c r="C19" s="1887">
        <f>+'SWT WS N Sch 11 TU'!B25</f>
        <v>43647</v>
      </c>
      <c r="E19" s="1964">
        <v>4.7000000000000002E-3</v>
      </c>
      <c r="F19" s="1888"/>
      <c r="G19" s="1888"/>
    </row>
    <row r="20" spans="1:7">
      <c r="A20" s="1886">
        <v>8</v>
      </c>
      <c r="C20" s="1887">
        <f>+'SWT WS N Sch 11 TU'!B26</f>
        <v>43678</v>
      </c>
      <c r="E20" s="1964">
        <v>4.7000000000000002E-3</v>
      </c>
      <c r="F20" s="1888"/>
      <c r="G20" s="1888"/>
    </row>
    <row r="21" spans="1:7">
      <c r="A21" s="1886">
        <v>9</v>
      </c>
      <c r="C21" s="1887">
        <f>+'SWT WS N Sch 11 TU'!B27</f>
        <v>43709</v>
      </c>
      <c r="E21" s="1964">
        <v>4.4999999999999997E-3</v>
      </c>
      <c r="F21" s="1888"/>
      <c r="G21" s="1888"/>
    </row>
    <row r="22" spans="1:7">
      <c r="A22" s="1886">
        <v>10</v>
      </c>
      <c r="C22" s="1887">
        <f>+'SWT WS N Sch 11 TU'!B28</f>
        <v>43739</v>
      </c>
      <c r="E22" s="1964">
        <v>4.5999999999999999E-3</v>
      </c>
      <c r="F22" s="1888"/>
      <c r="G22" s="1888"/>
    </row>
    <row r="23" spans="1:7">
      <c r="A23" s="1886">
        <v>11</v>
      </c>
      <c r="C23" s="1887">
        <f>+'SWT WS N Sch 11 TU'!B29</f>
        <v>43770</v>
      </c>
      <c r="E23" s="1964">
        <v>4.4999999999999997E-3</v>
      </c>
      <c r="F23" s="1889"/>
      <c r="G23" s="1888"/>
    </row>
    <row r="24" spans="1:7">
      <c r="A24" s="1886">
        <v>12</v>
      </c>
      <c r="C24" s="1887">
        <f>+'SWT WS N Sch 11 TU'!B30</f>
        <v>43800</v>
      </c>
      <c r="E24" s="1964">
        <v>4.5999999999999999E-3</v>
      </c>
      <c r="F24" s="1888"/>
      <c r="G24" s="1888"/>
    </row>
    <row r="25" spans="1:7">
      <c r="A25" s="1886">
        <f>+A24+1</f>
        <v>13</v>
      </c>
      <c r="C25" s="1887">
        <f>+'SWT WS N Sch 11 TU'!B33</f>
        <v>43831</v>
      </c>
      <c r="E25" s="1964">
        <v>4.1999999999999997E-3</v>
      </c>
      <c r="F25" s="1888"/>
      <c r="G25" s="1888"/>
    </row>
    <row r="26" spans="1:7">
      <c r="A26" s="1886">
        <f t="shared" ref="A26:A36" si="0">+A25+1</f>
        <v>14</v>
      </c>
      <c r="C26" s="1887">
        <f>+'SWT WS N Sch 11 TU'!B34</f>
        <v>43862</v>
      </c>
      <c r="E26" s="1964">
        <v>3.8999999999999998E-3</v>
      </c>
      <c r="F26" s="1888"/>
      <c r="G26" s="1888"/>
    </row>
    <row r="27" spans="1:7">
      <c r="A27" s="1886">
        <f t="shared" si="0"/>
        <v>15</v>
      </c>
      <c r="C27" s="1887">
        <f>+'SWT WS N Sch 11 TU'!B35</f>
        <v>43891</v>
      </c>
      <c r="E27" s="1964">
        <v>4.1999999999999997E-3</v>
      </c>
      <c r="F27" s="1888"/>
      <c r="G27" s="1888"/>
    </row>
    <row r="28" spans="1:7">
      <c r="A28" s="1886">
        <f t="shared" si="0"/>
        <v>16</v>
      </c>
      <c r="C28" s="1887">
        <f>+'SWT WS N Sch 11 TU'!B36</f>
        <v>43922</v>
      </c>
      <c r="E28" s="1964">
        <v>3.8999999999999998E-3</v>
      </c>
      <c r="F28" s="1888"/>
      <c r="G28" s="1888"/>
    </row>
    <row r="29" spans="1:7">
      <c r="A29" s="1886">
        <f t="shared" si="0"/>
        <v>17</v>
      </c>
      <c r="C29" s="1887">
        <f>+'SWT WS N Sch 11 TU'!B37</f>
        <v>43952</v>
      </c>
      <c r="E29" s="1964">
        <v>4.0000000000000001E-3</v>
      </c>
      <c r="F29" s="1888"/>
      <c r="G29" s="1888"/>
    </row>
    <row r="30" spans="1:7">
      <c r="A30" s="1886">
        <f t="shared" si="0"/>
        <v>18</v>
      </c>
      <c r="C30" s="1887">
        <f>+'SWT WS N Sch 11 TU'!B38</f>
        <v>43983</v>
      </c>
      <c r="E30" s="1964">
        <v>3.8999999999999998E-3</v>
      </c>
      <c r="F30" s="1888"/>
      <c r="G30" s="1888"/>
    </row>
    <row r="31" spans="1:7">
      <c r="A31" s="1886">
        <f t="shared" si="0"/>
        <v>19</v>
      </c>
      <c r="C31" s="1887">
        <f>+'SWT WS N Sch 11 TU'!B39</f>
        <v>44013</v>
      </c>
      <c r="E31" s="1964">
        <v>3.8999999999999998E-3</v>
      </c>
      <c r="F31" s="1888"/>
      <c r="G31" s="1888"/>
    </row>
    <row r="32" spans="1:7">
      <c r="A32" s="1886">
        <f t="shared" si="0"/>
        <v>20</v>
      </c>
      <c r="C32" s="1887">
        <f>+'SWT WS N Sch 11 TU'!B40</f>
        <v>44044</v>
      </c>
      <c r="E32" s="1964">
        <v>3.8999999999999998E-3</v>
      </c>
      <c r="F32" s="1888"/>
      <c r="G32" s="1888"/>
    </row>
    <row r="33" spans="1:7">
      <c r="A33" s="1886">
        <f t="shared" si="0"/>
        <v>21</v>
      </c>
      <c r="C33" s="1887">
        <f>+'SWT WS N Sch 11 TU'!B41</f>
        <v>44075</v>
      </c>
      <c r="E33" s="1964">
        <v>3.8999999999999998E-3</v>
      </c>
      <c r="F33" s="1888"/>
      <c r="G33" s="1888"/>
    </row>
    <row r="34" spans="1:7">
      <c r="A34" s="1886">
        <f t="shared" si="0"/>
        <v>22</v>
      </c>
      <c r="C34" s="1887">
        <f>+'SWT WS N Sch 11 TU'!B42</f>
        <v>44105</v>
      </c>
      <c r="E34" s="1964">
        <v>3.8999999999999998E-3</v>
      </c>
      <c r="F34" s="1888"/>
      <c r="G34" s="1888"/>
    </row>
    <row r="35" spans="1:7">
      <c r="A35" s="1886">
        <f t="shared" si="0"/>
        <v>23</v>
      </c>
      <c r="C35" s="1887">
        <f>+'SWT WS N Sch 11 TU'!B43</f>
        <v>44136</v>
      </c>
      <c r="E35" s="1964">
        <v>3.8999999999999998E-3</v>
      </c>
      <c r="F35" s="1888"/>
      <c r="G35" s="1888"/>
    </row>
    <row r="36" spans="1:7">
      <c r="A36" s="1886">
        <f t="shared" si="0"/>
        <v>24</v>
      </c>
      <c r="C36" s="1887">
        <f>+'SWT WS N Sch 11 TU'!B44</f>
        <v>44166</v>
      </c>
      <c r="E36" s="1964">
        <v>3.8999999999999998E-3</v>
      </c>
      <c r="F36" s="1888"/>
      <c r="G36" s="1888"/>
    </row>
    <row r="37" spans="1:7">
      <c r="A37" s="1886"/>
      <c r="C37" s="1890"/>
      <c r="D37" s="1891"/>
      <c r="E37" s="1891"/>
      <c r="F37" s="1888"/>
      <c r="G37" s="1888"/>
    </row>
    <row r="38" spans="1:7">
      <c r="A38" s="1886"/>
      <c r="B38" s="1892" t="s">
        <v>705</v>
      </c>
      <c r="C38" s="1890"/>
      <c r="D38" s="1891"/>
      <c r="E38" s="1891"/>
    </row>
    <row r="39" spans="1:7">
      <c r="A39" s="1886">
        <f>A36+1</f>
        <v>25</v>
      </c>
      <c r="B39" s="1893" t="str">
        <f>"Average Monthly Rate - Lines "&amp;A25&amp;"- "&amp;A36</f>
        <v>Average Monthly Rate - Lines 13- 24</v>
      </c>
      <c r="C39" s="1894"/>
      <c r="D39" s="1891"/>
      <c r="E39" s="1895">
        <f>+AVERAGE(E25:E36)</f>
        <v>3.9583333333333337E-3</v>
      </c>
    </row>
    <row r="40" spans="1:7">
      <c r="E40" s="1896"/>
    </row>
    <row r="41" spans="1:7" ht="30.75" customHeight="1">
      <c r="A41" s="2103" t="s">
        <v>912</v>
      </c>
      <c r="B41" s="2103"/>
      <c r="C41" s="2103"/>
      <c r="D41" s="2103"/>
      <c r="E41" s="2103"/>
      <c r="F41" s="2103"/>
      <c r="G41" s="2103"/>
    </row>
    <row r="43" spans="1:7" ht="15.5">
      <c r="A43" s="1339"/>
    </row>
    <row r="46" spans="1:7" ht="15.75" customHeight="1">
      <c r="C46" s="1339"/>
      <c r="D46" s="1339"/>
      <c r="E46" s="1339"/>
      <c r="F46" s="1339"/>
      <c r="G46" s="1339"/>
    </row>
    <row r="47" spans="1:7" ht="12.75" customHeight="1">
      <c r="C47" s="1339"/>
      <c r="D47" s="1339"/>
      <c r="E47" s="1339"/>
      <c r="F47" s="1339"/>
      <c r="G47" s="1339"/>
    </row>
    <row r="49" spans="2:7" ht="12.75" customHeight="1">
      <c r="C49" s="1364"/>
      <c r="D49" s="1364"/>
      <c r="E49" s="1364"/>
      <c r="F49" s="1364"/>
      <c r="G49" s="1364"/>
    </row>
    <row r="50" spans="2:7" ht="12.75" customHeight="1">
      <c r="B50" s="1364"/>
      <c r="C50" s="1364"/>
      <c r="D50" s="1364"/>
      <c r="E50" s="1364"/>
      <c r="F50" s="1364"/>
      <c r="G50" s="1364"/>
    </row>
    <row r="67" ht="15.75" customHeight="1"/>
    <row r="68" ht="12.75" customHeight="1"/>
    <row r="69" ht="15" customHeight="1"/>
  </sheetData>
  <mergeCells count="6">
    <mergeCell ref="A41:G41"/>
    <mergeCell ref="A5:G5"/>
    <mergeCell ref="A6:G6"/>
    <mergeCell ref="A7:G7"/>
    <mergeCell ref="A8:G8"/>
    <mergeCell ref="A10:G10"/>
  </mergeCells>
  <pageMargins left="0.7" right="0.7" top="0.75" bottom="0.75" header="0.3" footer="0.3"/>
  <pageSetup scale="85" fitToHeight="0" orientation="portrait" r:id="rId1"/>
  <headerFooter>
    <oddHeader>&amp;RAEP - SPP Transco Formula Rate
TCOS - WS Q
Page: &amp;P of &amp;N</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81" zoomScaleNormal="81" zoomScaleSheetLayoutView="80" zoomScalePageLayoutView="90" workbookViewId="0">
      <selection activeCell="F13" sqref="F13"/>
    </sheetView>
  </sheetViews>
  <sheetFormatPr defaultColWidth="11.453125" defaultRowHeight="12.5"/>
  <cols>
    <col min="1" max="1" width="9" style="1597" customWidth="1"/>
    <col min="2" max="2" width="4.26953125" style="1555" customWidth="1"/>
    <col min="3" max="3" width="51.453125" style="1555" customWidth="1"/>
    <col min="4" max="4" width="21" style="1555" customWidth="1"/>
    <col min="5" max="5" width="16.54296875" style="1555" customWidth="1"/>
    <col min="6" max="6" width="18.54296875" style="1555" customWidth="1"/>
    <col min="7" max="7" width="20" style="1555" bestFit="1" customWidth="1"/>
    <col min="8" max="8" width="18.26953125" style="1555" customWidth="1"/>
    <col min="9" max="9" width="17" style="1555" customWidth="1"/>
    <col min="10" max="10" width="16" style="1555" customWidth="1"/>
    <col min="11" max="11" width="16.7265625" style="1555" customWidth="1"/>
    <col min="12" max="12" width="13.7265625" style="1555" customWidth="1"/>
    <col min="13" max="13" width="11.54296875" style="1555" customWidth="1"/>
    <col min="14" max="15" width="13.453125" style="1555" customWidth="1"/>
    <col min="16" max="16" width="13.7265625" style="1555" customWidth="1"/>
    <col min="17" max="16384" width="11.453125" style="1555"/>
  </cols>
  <sheetData>
    <row r="1" spans="1:15" ht="15.5">
      <c r="A1" s="1440"/>
    </row>
    <row r="2" spans="1:15" ht="15.5">
      <c r="A2" s="2086" t="str">
        <f>'SWT TCOS'!F4</f>
        <v xml:space="preserve">AEP West SPP Member Transmission Companies </v>
      </c>
      <c r="B2" s="2086"/>
      <c r="C2" s="2086"/>
      <c r="D2" s="2086"/>
      <c r="E2" s="2086"/>
      <c r="F2" s="2086"/>
      <c r="G2" s="2086"/>
      <c r="H2" s="2086"/>
      <c r="I2" s="670"/>
      <c r="J2" s="279"/>
      <c r="K2" s="279"/>
    </row>
    <row r="3" spans="1:15" ht="15.5">
      <c r="A3" s="2086" t="str">
        <f>"Actual / Projected "&amp;'SWT TCOS'!$N$2&amp;" Rate Year Cost of Service Formula Rate "</f>
        <v xml:space="preserve">Actual / Projected 2019 Rate Year Cost of Service Formula Rate </v>
      </c>
      <c r="B3" s="2086"/>
      <c r="C3" s="2086"/>
      <c r="D3" s="2086"/>
      <c r="E3" s="2086"/>
      <c r="F3" s="2086"/>
      <c r="G3" s="2086"/>
      <c r="H3" s="2086"/>
      <c r="I3" s="1897"/>
    </row>
    <row r="4" spans="1:15" ht="15.5">
      <c r="A4" s="2087" t="s">
        <v>909</v>
      </c>
      <c r="B4" s="2086"/>
      <c r="C4" s="2086"/>
      <c r="D4" s="2086"/>
      <c r="E4" s="2086"/>
      <c r="F4" s="2086"/>
      <c r="G4" s="2086"/>
      <c r="H4" s="2086"/>
      <c r="I4" s="1557"/>
    </row>
    <row r="5" spans="1:15" ht="15.5">
      <c r="A5" s="2088" t="str">
        <f>+'SWT TCOS'!$F$8</f>
        <v>AEP SOUTHWESTERN TRANSMISSION COMPANY</v>
      </c>
      <c r="B5" s="2087"/>
      <c r="C5" s="2087"/>
      <c r="D5" s="2087"/>
      <c r="E5" s="2087"/>
      <c r="F5" s="2087"/>
      <c r="G5" s="2087"/>
      <c r="H5" s="2087"/>
      <c r="I5" s="1366"/>
    </row>
    <row r="6" spans="1:15" ht="15.5">
      <c r="A6" s="1366"/>
      <c r="B6" s="1366"/>
      <c r="C6" s="1366"/>
      <c r="F6" s="1898"/>
      <c r="G6" s="1898"/>
      <c r="H6" s="1898"/>
      <c r="I6" s="1898"/>
      <c r="J6" s="1898"/>
    </row>
    <row r="7" spans="1:15" ht="13">
      <c r="C7" s="1899" t="s">
        <v>300</v>
      </c>
      <c r="D7" s="1899" t="s">
        <v>301</v>
      </c>
      <c r="E7" s="1899" t="s">
        <v>302</v>
      </c>
      <c r="F7" s="1899" t="s">
        <v>303</v>
      </c>
      <c r="G7" s="1899" t="s">
        <v>228</v>
      </c>
      <c r="H7" s="1899" t="s">
        <v>229</v>
      </c>
      <c r="I7" s="1899"/>
      <c r="J7" s="1899"/>
    </row>
    <row r="8" spans="1:15" ht="13">
      <c r="A8" s="514" t="s">
        <v>307</v>
      </c>
      <c r="C8" s="1899"/>
      <c r="D8" s="1899"/>
      <c r="E8" s="1900" t="s">
        <v>779</v>
      </c>
      <c r="F8" s="1567" t="s">
        <v>15</v>
      </c>
      <c r="G8" s="1567" t="s">
        <v>60</v>
      </c>
      <c r="H8" s="2106" t="str">
        <f>"Average Balance for "&amp;'SWT TCOS'!$N$2&amp;""</f>
        <v>Average Balance for 2019</v>
      </c>
      <c r="I8" s="1899"/>
      <c r="J8" s="1899"/>
    </row>
    <row r="9" spans="1:15" ht="13">
      <c r="A9" s="514" t="s">
        <v>245</v>
      </c>
      <c r="C9" s="1567" t="s">
        <v>305</v>
      </c>
      <c r="D9" s="1901" t="s">
        <v>389</v>
      </c>
      <c r="E9" s="1901" t="s">
        <v>778</v>
      </c>
      <c r="F9" s="1902" t="str">
        <f>"12/31/"&amp;'SWT TCOS'!$N$2&amp;""</f>
        <v>12/31/2019</v>
      </c>
      <c r="G9" s="1902" t="str">
        <f>"12/31/"&amp;'SWT TCOS'!$N$2-1&amp;""</f>
        <v>12/31/2018</v>
      </c>
      <c r="H9" s="2075"/>
      <c r="I9" s="1567"/>
      <c r="J9" s="1567"/>
      <c r="L9" s="279"/>
      <c r="M9" s="279"/>
      <c r="N9" s="279"/>
      <c r="O9" s="279"/>
    </row>
    <row r="10" spans="1:15">
      <c r="A10" s="272"/>
      <c r="B10" s="272"/>
      <c r="C10" s="272"/>
      <c r="D10" s="272"/>
      <c r="E10" s="272"/>
      <c r="G10" s="1903"/>
      <c r="H10" s="1565"/>
      <c r="I10" s="1565"/>
      <c r="J10" s="272"/>
      <c r="K10" s="1565"/>
      <c r="L10" s="279"/>
      <c r="M10" s="279"/>
      <c r="N10" s="279"/>
      <c r="O10" s="279"/>
    </row>
    <row r="11" spans="1:15">
      <c r="A11" s="1597">
        <v>1</v>
      </c>
      <c r="C11" s="1375"/>
      <c r="D11" s="1376"/>
      <c r="E11" s="1376"/>
      <c r="F11" s="1375"/>
      <c r="G11" s="1375"/>
      <c r="H11" s="1377">
        <f t="shared" ref="H11:H15" si="0">IF(G11="",0,(F11+G11)/2)</f>
        <v>0</v>
      </c>
      <c r="J11" s="1904"/>
      <c r="L11" s="1904"/>
      <c r="M11" s="1904"/>
      <c r="N11" s="1904"/>
      <c r="O11" s="1904"/>
    </row>
    <row r="12" spans="1:15">
      <c r="A12" s="1597">
        <f>+A11+1</f>
        <v>2</v>
      </c>
      <c r="C12" s="1375"/>
      <c r="D12" s="1375"/>
      <c r="E12" s="1375"/>
      <c r="F12" s="1375"/>
      <c r="G12" s="1375"/>
      <c r="H12" s="1377">
        <f t="shared" si="0"/>
        <v>0</v>
      </c>
      <c r="J12" s="1904"/>
      <c r="L12" s="1904"/>
      <c r="M12" s="1904"/>
      <c r="N12" s="1904"/>
      <c r="O12" s="1904"/>
    </row>
    <row r="13" spans="1:15">
      <c r="A13" s="1597">
        <f>+A12+1</f>
        <v>3</v>
      </c>
      <c r="C13" s="1375"/>
      <c r="D13" s="1375"/>
      <c r="E13" s="1375"/>
      <c r="F13" s="1375"/>
      <c r="G13" s="1375"/>
      <c r="H13" s="1377">
        <f t="shared" si="0"/>
        <v>0</v>
      </c>
      <c r="J13" s="1904"/>
      <c r="L13" s="1904"/>
      <c r="M13" s="1904"/>
      <c r="N13" s="1904"/>
      <c r="O13" s="1904"/>
    </row>
    <row r="14" spans="1:15">
      <c r="A14" s="1597">
        <f>+A13+1</f>
        <v>4</v>
      </c>
      <c r="C14" s="1379"/>
      <c r="D14" s="1379"/>
      <c r="E14" s="1379"/>
      <c r="F14" s="1379"/>
      <c r="G14" s="1379"/>
      <c r="H14" s="1377">
        <f t="shared" si="0"/>
        <v>0</v>
      </c>
      <c r="J14" s="1904"/>
      <c r="L14" s="1904"/>
      <c r="M14" s="1904"/>
      <c r="N14" s="1904"/>
      <c r="O14" s="1904"/>
    </row>
    <row r="15" spans="1:15">
      <c r="A15" s="1597">
        <f>+A14+1</f>
        <v>5</v>
      </c>
      <c r="C15" s="1379"/>
      <c r="D15" s="1379"/>
      <c r="E15" s="1379"/>
      <c r="F15" s="1379"/>
      <c r="G15" s="1379"/>
      <c r="H15" s="1377">
        <f t="shared" si="0"/>
        <v>0</v>
      </c>
      <c r="J15" s="1904"/>
      <c r="L15" s="1904"/>
      <c r="M15" s="1904"/>
      <c r="N15" s="1904"/>
      <c r="O15" s="1904"/>
    </row>
    <row r="16" spans="1:15">
      <c r="A16" s="1597">
        <f>+A15+1</f>
        <v>6</v>
      </c>
      <c r="C16" s="1905" t="s">
        <v>739</v>
      </c>
      <c r="D16" s="1905"/>
      <c r="E16" s="1905"/>
      <c r="F16" s="1906">
        <f>+SUM(F11:F15)</f>
        <v>0</v>
      </c>
      <c r="G16" s="1906">
        <f>+SUM(G11:G15)</f>
        <v>0</v>
      </c>
      <c r="H16" s="1906">
        <f>+SUM(H11:H15)</f>
        <v>0</v>
      </c>
      <c r="J16" s="1904"/>
      <c r="L16" s="1904"/>
      <c r="M16" s="1904"/>
      <c r="N16" s="1904"/>
      <c r="O16" s="1904"/>
    </row>
    <row r="18" spans="1:8" ht="29.25" customHeight="1">
      <c r="A18" s="2105" t="s">
        <v>780</v>
      </c>
      <c r="B18" s="2105"/>
      <c r="C18" s="2105"/>
      <c r="D18" s="2105"/>
      <c r="E18" s="2105"/>
      <c r="F18" s="2105"/>
      <c r="G18" s="2105"/>
      <c r="H18" s="2105"/>
    </row>
  </sheetData>
  <mergeCells count="6">
    <mergeCell ref="A18:H18"/>
    <mergeCell ref="A2:H2"/>
    <mergeCell ref="A3:H3"/>
    <mergeCell ref="A4:H4"/>
    <mergeCell ref="A5:H5"/>
    <mergeCell ref="H8:H9"/>
  </mergeCells>
  <printOptions horizontalCentered="1"/>
  <pageMargins left="0.25" right="0.25" top="1" bottom="0" header="0.65" footer="0"/>
  <pageSetup scale="52" fitToHeight="2" orientation="portrait" horizontalDpi="1200" verticalDpi="1200" r:id="rId1"/>
  <headerFooter alignWithMargins="0">
    <oddHeader xml:space="preserve">&amp;R&amp;12AEP - SPP Transco Formula Rate
TCOS - WS R
Page: &amp;P of &amp;N&amp;16
</oddHeader>
    <oddFooter xml:space="preserve">&amp;R &amp;C </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A7" zoomScale="81" zoomScaleNormal="81" zoomScaleSheetLayoutView="90" zoomScalePageLayoutView="90" workbookViewId="0">
      <selection activeCell="M21" sqref="M21"/>
    </sheetView>
  </sheetViews>
  <sheetFormatPr defaultColWidth="11.453125" defaultRowHeight="12.5"/>
  <cols>
    <col min="1" max="1" width="1.7265625" style="1597" customWidth="1"/>
    <col min="2" max="2" width="6.1796875" style="1555" customWidth="1"/>
    <col min="3" max="3" width="4" style="1555" customWidth="1"/>
    <col min="4" max="4" width="35.26953125" style="1555" customWidth="1"/>
    <col min="5" max="5" width="14.1796875" style="1555" customWidth="1"/>
    <col min="6" max="6" width="20" style="1555" bestFit="1" customWidth="1"/>
    <col min="7" max="7" width="18.453125" style="1555" customWidth="1"/>
    <col min="8" max="8" width="10.81640625" style="1555" customWidth="1"/>
    <col min="9" max="9" width="16" style="1555" customWidth="1"/>
    <col min="10" max="10" width="13.7265625" style="1555" customWidth="1"/>
    <col min="11" max="11" width="10.81640625" style="1555" customWidth="1"/>
    <col min="12" max="12" width="14" style="1555" customWidth="1"/>
    <col min="13" max="13" width="11.81640625" style="1555" customWidth="1"/>
    <col min="14" max="14" width="14.453125" style="1555" customWidth="1"/>
    <col min="15" max="15" width="13.453125" style="1555" customWidth="1"/>
    <col min="16" max="16" width="13.7265625" style="1555" customWidth="1"/>
    <col min="17" max="16384" width="11.453125" style="1555"/>
  </cols>
  <sheetData>
    <row r="1" spans="1:15" ht="15.5">
      <c r="A1" s="1440"/>
    </row>
    <row r="2" spans="1:15" ht="15.5">
      <c r="A2" s="1996" t="str">
        <f>+'SWT TCOS'!F4</f>
        <v xml:space="preserve">AEP West SPP Member Transmission Companies </v>
      </c>
      <c r="B2" s="1996"/>
      <c r="C2" s="1996"/>
      <c r="D2" s="1996"/>
      <c r="E2" s="1996"/>
      <c r="F2" s="1996"/>
      <c r="G2" s="1996"/>
      <c r="H2" s="1996"/>
      <c r="I2" s="1996"/>
      <c r="J2" s="1996"/>
    </row>
    <row r="3" spans="1:15" ht="15.5">
      <c r="A3" s="2086" t="str">
        <f>+'SWT WS A-1 - Plant'!A3</f>
        <v xml:space="preserve">Actual / Projected 2019 Rate Year Cost of Service Formula Rate </v>
      </c>
      <c r="B3" s="2086"/>
      <c r="C3" s="2086"/>
      <c r="D3" s="2086"/>
      <c r="E3" s="2086"/>
      <c r="F3" s="2086"/>
      <c r="G3" s="2086"/>
      <c r="H3" s="2086"/>
      <c r="I3" s="2086"/>
      <c r="J3" s="2086"/>
    </row>
    <row r="4" spans="1:15" ht="15.5">
      <c r="A4" s="2087" t="s">
        <v>900</v>
      </c>
      <c r="B4" s="2086"/>
      <c r="C4" s="2086"/>
      <c r="D4" s="2086"/>
      <c r="E4" s="2086"/>
      <c r="F4" s="2086"/>
      <c r="G4" s="2086"/>
      <c r="H4" s="2086"/>
      <c r="I4" s="2086"/>
      <c r="J4" s="2086"/>
    </row>
    <row r="5" spans="1:15" ht="15.5">
      <c r="A5" s="2025" t="str">
        <f>+'SWT TCOS'!F8</f>
        <v>AEP SOUTHWESTERN TRANSMISSION COMPANY</v>
      </c>
      <c r="B5" s="2025"/>
      <c r="C5" s="2025"/>
      <c r="D5" s="2025"/>
      <c r="E5" s="2025"/>
      <c r="F5" s="2025"/>
      <c r="G5" s="2025"/>
      <c r="H5" s="2025"/>
      <c r="I5" s="2025"/>
      <c r="J5" s="2025"/>
    </row>
    <row r="6" spans="1:15" ht="18">
      <c r="A6" s="943"/>
      <c r="B6" s="943"/>
      <c r="C6" s="943"/>
      <c r="D6" s="943"/>
      <c r="E6" s="943"/>
      <c r="F6" s="943"/>
      <c r="H6" s="943"/>
      <c r="I6" s="943"/>
      <c r="J6" s="943"/>
      <c r="K6" s="1904"/>
      <c r="L6" s="1904"/>
      <c r="M6" s="1904"/>
      <c r="N6" s="1904"/>
      <c r="O6" s="1904"/>
    </row>
    <row r="7" spans="1:15" ht="18">
      <c r="A7" s="943"/>
      <c r="B7" s="326"/>
      <c r="C7" s="326"/>
      <c r="D7" s="2044" t="s">
        <v>300</v>
      </c>
      <c r="E7" s="2044"/>
      <c r="F7" s="557" t="s">
        <v>301</v>
      </c>
      <c r="G7" s="557" t="s">
        <v>302</v>
      </c>
      <c r="H7" s="557" t="s">
        <v>303</v>
      </c>
      <c r="I7" s="557" t="s">
        <v>228</v>
      </c>
      <c r="J7" s="943"/>
      <c r="K7" s="1904"/>
      <c r="L7" s="1904"/>
      <c r="M7" s="1904"/>
      <c r="N7" s="1904"/>
      <c r="O7" s="1904"/>
    </row>
    <row r="8" spans="1:15" ht="46.5" customHeight="1">
      <c r="A8" s="943"/>
      <c r="B8" s="732" t="s">
        <v>307</v>
      </c>
      <c r="C8" s="326"/>
      <c r="D8" s="2043" t="s">
        <v>305</v>
      </c>
      <c r="E8" s="2043"/>
      <c r="F8" s="1382" t="s">
        <v>750</v>
      </c>
      <c r="G8" s="1382" t="s">
        <v>344</v>
      </c>
      <c r="H8" s="559" t="s">
        <v>763</v>
      </c>
      <c r="I8" s="559" t="str">
        <f>+'SWT TCOS'!N2&amp;" Amortization / (Deferral)"</f>
        <v>2019 Amortization / (Deferral)</v>
      </c>
      <c r="J8" s="943"/>
      <c r="K8" s="1904"/>
      <c r="L8" s="1904"/>
      <c r="M8" s="1904"/>
      <c r="N8" s="1904"/>
      <c r="O8" s="1904"/>
    </row>
    <row r="9" spans="1:15" ht="15.5">
      <c r="A9" s="326"/>
      <c r="B9" s="1383"/>
      <c r="C9" s="1097"/>
      <c r="D9" s="1907"/>
      <c r="E9" s="1908"/>
      <c r="F9" s="1909"/>
      <c r="G9" s="1909"/>
      <c r="H9" s="1909"/>
      <c r="I9" s="1909"/>
      <c r="J9" s="278"/>
    </row>
    <row r="10" spans="1:15" ht="15.5">
      <c r="A10" s="326"/>
      <c r="B10" s="1383">
        <v>1</v>
      </c>
      <c r="C10" s="326"/>
      <c r="D10" s="1910" t="s">
        <v>765</v>
      </c>
      <c r="E10" s="1908"/>
      <c r="F10" s="1909"/>
      <c r="G10" s="1909"/>
      <c r="H10" s="1909"/>
      <c r="I10" s="1909"/>
      <c r="J10" s="278"/>
    </row>
    <row r="11" spans="1:15" ht="15.5">
      <c r="A11" s="326"/>
      <c r="B11" s="1911" t="str">
        <f>+B$10&amp;"a"</f>
        <v>1a</v>
      </c>
      <c r="C11" s="326"/>
      <c r="D11" s="1912"/>
      <c r="E11" s="1913"/>
      <c r="F11" s="1914"/>
      <c r="G11" s="1914"/>
      <c r="H11" s="1915"/>
      <c r="I11" s="1916"/>
      <c r="J11" s="278"/>
    </row>
    <row r="12" spans="1:15" ht="15.5">
      <c r="A12" s="326"/>
      <c r="B12" s="1911" t="str">
        <f>+B$10&amp;"b"</f>
        <v>1b</v>
      </c>
      <c r="C12" s="326"/>
      <c r="D12" s="1912"/>
      <c r="E12" s="1913"/>
      <c r="F12" s="1914"/>
      <c r="G12" s="1914"/>
      <c r="H12" s="1917"/>
      <c r="I12" s="1916"/>
      <c r="J12" s="278"/>
    </row>
    <row r="13" spans="1:15" ht="15.5">
      <c r="A13" s="326"/>
      <c r="B13" s="1911" t="str">
        <f>+B$10&amp;"c"</f>
        <v>1c</v>
      </c>
      <c r="C13" s="326"/>
      <c r="D13" s="1912"/>
      <c r="E13" s="1913"/>
      <c r="F13" s="1914"/>
      <c r="G13" s="1914"/>
      <c r="H13" s="1915"/>
      <c r="I13" s="1916"/>
      <c r="J13" s="278"/>
    </row>
    <row r="14" spans="1:15" ht="15.5">
      <c r="A14" s="326"/>
      <c r="B14" s="1911" t="str">
        <f>+B$10&amp;"d"</f>
        <v>1d</v>
      </c>
      <c r="C14" s="326"/>
      <c r="D14" s="1912"/>
      <c r="E14" s="1913"/>
      <c r="F14" s="1914"/>
      <c r="G14" s="1914"/>
      <c r="H14" s="1915"/>
      <c r="I14" s="1916"/>
      <c r="J14" s="278"/>
    </row>
    <row r="15" spans="1:15" ht="15.5">
      <c r="A15" s="326"/>
      <c r="B15" s="1911" t="str">
        <f>+B$10&amp;"e"</f>
        <v>1e</v>
      </c>
      <c r="C15" s="326"/>
      <c r="D15" s="1912"/>
      <c r="E15" s="1913"/>
      <c r="F15" s="1914"/>
      <c r="G15" s="1914"/>
      <c r="H15" s="1915"/>
      <c r="I15" s="1916"/>
      <c r="J15" s="278"/>
    </row>
    <row r="16" spans="1:15" ht="15.5">
      <c r="A16" s="326"/>
      <c r="B16" s="1383">
        <f>+B10+1</f>
        <v>2</v>
      </c>
      <c r="C16" s="326"/>
      <c r="D16" s="1918" t="s">
        <v>751</v>
      </c>
      <c r="E16" s="1919"/>
      <c r="F16" s="1918"/>
      <c r="G16" s="1918"/>
      <c r="H16" s="1920"/>
      <c r="I16" s="1921">
        <f>+SUM(I11:I15)</f>
        <v>0</v>
      </c>
      <c r="J16" s="278"/>
    </row>
    <row r="17" spans="1:10" ht="15.5">
      <c r="A17" s="326"/>
      <c r="B17" s="1383"/>
      <c r="C17" s="326"/>
      <c r="D17" s="1907"/>
      <c r="E17" s="1908"/>
      <c r="F17" s="1907"/>
      <c r="G17" s="1907"/>
      <c r="H17" s="1922"/>
      <c r="I17" s="1923"/>
      <c r="J17" s="278"/>
    </row>
    <row r="18" spans="1:10" ht="15.5">
      <c r="A18" s="326"/>
      <c r="B18" s="1383">
        <f>+B16+1</f>
        <v>3</v>
      </c>
      <c r="C18" s="326"/>
      <c r="D18" s="1910" t="s">
        <v>766</v>
      </c>
      <c r="E18" s="1908"/>
      <c r="F18" s="1907"/>
      <c r="G18" s="1907"/>
      <c r="H18" s="1922"/>
      <c r="I18" s="1923"/>
      <c r="J18" s="278"/>
    </row>
    <row r="19" spans="1:10" ht="15.5">
      <c r="A19" s="326"/>
      <c r="B19" s="1911" t="str">
        <f>+B$18&amp;"a"</f>
        <v>3a</v>
      </c>
      <c r="C19" s="326"/>
      <c r="D19" s="1912"/>
      <c r="E19" s="1913"/>
      <c r="F19" s="1914"/>
      <c r="G19" s="1914"/>
      <c r="H19" s="1915"/>
      <c r="I19" s="1916"/>
      <c r="J19" s="278"/>
    </row>
    <row r="20" spans="1:10" ht="15.5">
      <c r="A20" s="326"/>
      <c r="B20" s="1911" t="str">
        <f>+B$18&amp;"b"</f>
        <v>3b</v>
      </c>
      <c r="C20" s="326"/>
      <c r="D20" s="1912"/>
      <c r="E20" s="1913"/>
      <c r="F20" s="1914"/>
      <c r="G20" s="1914"/>
      <c r="H20" s="1915"/>
      <c r="I20" s="1916"/>
      <c r="J20" s="278"/>
    </row>
    <row r="21" spans="1:10" ht="15.5">
      <c r="A21" s="326"/>
      <c r="B21" s="1911" t="str">
        <f>+B$18&amp;"c"</f>
        <v>3c</v>
      </c>
      <c r="C21" s="326"/>
      <c r="D21" s="1912"/>
      <c r="E21" s="1913"/>
      <c r="F21" s="1914"/>
      <c r="G21" s="1914"/>
      <c r="H21" s="1915"/>
      <c r="I21" s="1916"/>
      <c r="J21" s="278"/>
    </row>
    <row r="22" spans="1:10" ht="15.5">
      <c r="A22" s="326"/>
      <c r="B22" s="1911" t="str">
        <f>+B$18&amp;"d"</f>
        <v>3d</v>
      </c>
      <c r="C22" s="326"/>
      <c r="D22" s="1912"/>
      <c r="E22" s="1913"/>
      <c r="F22" s="1912"/>
      <c r="G22" s="1912"/>
      <c r="H22" s="1915"/>
      <c r="I22" s="1916"/>
      <c r="J22" s="278"/>
    </row>
    <row r="23" spans="1:10" ht="15.5">
      <c r="A23" s="326"/>
      <c r="B23" s="1383">
        <f>+B18+1</f>
        <v>4</v>
      </c>
      <c r="C23" s="326"/>
      <c r="D23" s="1918" t="s">
        <v>752</v>
      </c>
      <c r="E23" s="1919"/>
      <c r="F23" s="1918"/>
      <c r="G23" s="1918"/>
      <c r="H23" s="1920"/>
      <c r="I23" s="1921">
        <f>+SUM(I19:I22)</f>
        <v>0</v>
      </c>
      <c r="J23" s="278"/>
    </row>
    <row r="24" spans="1:10" ht="30" customHeight="1">
      <c r="A24" s="326"/>
      <c r="B24" s="1383"/>
      <c r="C24" s="326"/>
      <c r="D24" s="1907"/>
      <c r="E24" s="1908"/>
      <c r="F24" s="1907"/>
      <c r="G24" s="1907"/>
      <c r="H24" s="1922"/>
      <c r="I24" s="1923"/>
      <c r="J24" s="278"/>
    </row>
    <row r="25" spans="1:10" ht="15.5">
      <c r="A25" s="326"/>
      <c r="B25" s="1383">
        <f>+B23+1</f>
        <v>5</v>
      </c>
      <c r="C25" s="326"/>
      <c r="D25" s="1910" t="s">
        <v>768</v>
      </c>
      <c r="E25" s="1908"/>
      <c r="F25" s="1909"/>
      <c r="G25" s="1909"/>
      <c r="H25" s="1909"/>
      <c r="I25" s="1909"/>
      <c r="J25" s="278"/>
    </row>
    <row r="26" spans="1:10" ht="15.5">
      <c r="A26" s="326"/>
      <c r="B26" s="1911" t="str">
        <f>+B$25&amp;"a"</f>
        <v>5a</v>
      </c>
      <c r="C26" s="326"/>
      <c r="D26" s="1912"/>
      <c r="E26" s="1913"/>
      <c r="F26" s="1914"/>
      <c r="G26" s="1914"/>
      <c r="H26" s="1915"/>
      <c r="I26" s="1916"/>
      <c r="J26" s="278"/>
    </row>
    <row r="27" spans="1:10" ht="15.5">
      <c r="A27" s="326"/>
      <c r="B27" s="1911" t="str">
        <f>+B$25&amp;"b"</f>
        <v>5b</v>
      </c>
      <c r="C27" s="326"/>
      <c r="D27" s="1912"/>
      <c r="E27" s="1913"/>
      <c r="F27" s="1914"/>
      <c r="G27" s="1914"/>
      <c r="H27" s="1915"/>
      <c r="I27" s="1916"/>
      <c r="J27" s="278"/>
    </row>
    <row r="28" spans="1:10" ht="15.5">
      <c r="A28" s="326"/>
      <c r="B28" s="1383">
        <f>+B25+1</f>
        <v>6</v>
      </c>
      <c r="C28" s="326"/>
      <c r="D28" s="1918" t="s">
        <v>751</v>
      </c>
      <c r="E28" s="1919"/>
      <c r="F28" s="1918"/>
      <c r="G28" s="1918"/>
      <c r="H28" s="1920"/>
      <c r="I28" s="1921">
        <f>+SUM(I26:I27)</f>
        <v>0</v>
      </c>
      <c r="J28" s="278"/>
    </row>
    <row r="29" spans="1:10" ht="15.5">
      <c r="A29" s="326"/>
      <c r="B29" s="1383"/>
      <c r="C29" s="326"/>
      <c r="D29" s="1907"/>
      <c r="E29" s="1908"/>
      <c r="F29" s="1907"/>
      <c r="G29" s="1907"/>
      <c r="H29" s="1922"/>
      <c r="I29" s="1923"/>
      <c r="J29" s="278"/>
    </row>
    <row r="30" spans="1:10" ht="15.5">
      <c r="A30" s="326"/>
      <c r="B30" s="1383">
        <f>+B28+1</f>
        <v>7</v>
      </c>
      <c r="C30" s="326"/>
      <c r="D30" s="1910" t="s">
        <v>769</v>
      </c>
      <c r="E30" s="1908"/>
      <c r="F30" s="1907"/>
      <c r="G30" s="1907"/>
      <c r="H30" s="1922"/>
      <c r="I30" s="1923"/>
      <c r="J30" s="278"/>
    </row>
    <row r="31" spans="1:10" ht="15.5">
      <c r="A31" s="326"/>
      <c r="B31" s="1911" t="str">
        <f>+B$30&amp;"a"</f>
        <v>7a</v>
      </c>
      <c r="C31" s="326"/>
      <c r="D31" s="1912"/>
      <c r="E31" s="1913"/>
      <c r="F31" s="1914"/>
      <c r="G31" s="1914"/>
      <c r="H31" s="1915"/>
      <c r="I31" s="1916"/>
      <c r="J31" s="278"/>
    </row>
    <row r="32" spans="1:10" ht="15.5">
      <c r="A32" s="326"/>
      <c r="B32" s="1911" t="str">
        <f>+B$30&amp;"b"</f>
        <v>7b</v>
      </c>
      <c r="C32" s="326"/>
      <c r="D32" s="1912"/>
      <c r="E32" s="1913"/>
      <c r="F32" s="1912"/>
      <c r="G32" s="1912"/>
      <c r="H32" s="1915"/>
      <c r="I32" s="1916"/>
      <c r="J32" s="278"/>
    </row>
    <row r="33" spans="1:14" ht="15.5">
      <c r="A33" s="326"/>
      <c r="B33" s="1383">
        <f>+B30+1</f>
        <v>8</v>
      </c>
      <c r="C33" s="326"/>
      <c r="D33" s="1918" t="s">
        <v>752</v>
      </c>
      <c r="E33" s="1919"/>
      <c r="F33" s="1918"/>
      <c r="G33" s="1918"/>
      <c r="H33" s="1920"/>
      <c r="I33" s="1921">
        <f>+SUM(I31:I32)</f>
        <v>0</v>
      </c>
      <c r="J33" s="278"/>
    </row>
    <row r="34" spans="1:14" ht="15.5">
      <c r="A34" s="326"/>
      <c r="B34" s="326"/>
      <c r="C34" s="326"/>
      <c r="D34" s="1907"/>
      <c r="E34" s="1908"/>
      <c r="F34" s="1907"/>
      <c r="G34" s="1907"/>
      <c r="H34" s="1922"/>
      <c r="I34" s="1923"/>
      <c r="J34" s="278"/>
    </row>
    <row r="36" spans="1:14" ht="14">
      <c r="D36" s="1924" t="s">
        <v>773</v>
      </c>
      <c r="K36" s="1899"/>
      <c r="L36" s="1899"/>
      <c r="M36" s="1899"/>
      <c r="N36" s="1899"/>
    </row>
    <row r="37" spans="1:14" ht="12.75" hidden="1" customHeight="1">
      <c r="K37" s="1567"/>
      <c r="L37" s="1567"/>
      <c r="M37" s="1567"/>
    </row>
    <row r="38" spans="1:14" ht="12.75" customHeight="1">
      <c r="D38" s="2044" t="s">
        <v>300</v>
      </c>
      <c r="E38" s="2044"/>
      <c r="F38" s="557" t="s">
        <v>301</v>
      </c>
      <c r="G38" s="557" t="s">
        <v>302</v>
      </c>
      <c r="H38" s="557" t="s">
        <v>303</v>
      </c>
      <c r="I38" s="557" t="s">
        <v>228</v>
      </c>
      <c r="J38" s="557" t="s">
        <v>229</v>
      </c>
      <c r="K38" s="557" t="s">
        <v>230</v>
      </c>
      <c r="L38" s="557" t="s">
        <v>235</v>
      </c>
      <c r="M38" s="557" t="s">
        <v>176</v>
      </c>
      <c r="N38" s="557" t="s">
        <v>73</v>
      </c>
    </row>
    <row r="39" spans="1:14" ht="43.5" customHeight="1">
      <c r="B39" s="1911">
        <f>+B33+1</f>
        <v>9</v>
      </c>
      <c r="D39" s="1925" t="s">
        <v>305</v>
      </c>
      <c r="E39" s="1926" t="s">
        <v>757</v>
      </c>
      <c r="F39" s="1926" t="s">
        <v>762</v>
      </c>
      <c r="G39" s="1926" t="s">
        <v>758</v>
      </c>
      <c r="H39" s="1926" t="s">
        <v>759</v>
      </c>
      <c r="I39" s="1927" t="str">
        <f>"Balance @ 12/31/"&amp;'SWT TCOS'!$N$2&amp;""</f>
        <v>Balance @ 12/31/2019</v>
      </c>
      <c r="J39" s="1927" t="str">
        <f>"Balance @ 12/31/"&amp;'SWT TCOS'!$N$2-1&amp;""</f>
        <v>Balance @ 12/31/2018</v>
      </c>
      <c r="K39" s="1928" t="s">
        <v>351</v>
      </c>
      <c r="L39" s="1928" t="s">
        <v>775</v>
      </c>
      <c r="M39" s="1928" t="s">
        <v>764</v>
      </c>
      <c r="N39" s="1928" t="s">
        <v>760</v>
      </c>
    </row>
    <row r="40" spans="1:14">
      <c r="B40" s="1911" t="str">
        <f>+B$33+1&amp;"a"</f>
        <v>9a</v>
      </c>
      <c r="D40" s="1912"/>
      <c r="E40" s="1914"/>
      <c r="F40" s="1914"/>
      <c r="G40" s="1929"/>
      <c r="H40" s="1407"/>
      <c r="I40" s="655"/>
      <c r="J40" s="1408"/>
      <c r="K40" s="1409">
        <f>+(I40+J40)/2</f>
        <v>0</v>
      </c>
      <c r="L40" s="1930"/>
      <c r="M40" s="1931"/>
      <c r="N40" s="1377">
        <f>+K40*M40</f>
        <v>0</v>
      </c>
    </row>
    <row r="41" spans="1:14">
      <c r="B41" s="1911" t="str">
        <f>+B$33+1&amp;"b"</f>
        <v>9b</v>
      </c>
      <c r="D41" s="1912"/>
      <c r="E41" s="1914"/>
      <c r="F41" s="1914"/>
      <c r="G41" s="1929"/>
      <c r="H41" s="1407"/>
      <c r="I41" s="655"/>
      <c r="J41" s="655"/>
      <c r="K41" s="1409">
        <f t="shared" ref="K41:K44" si="0">+(I41+J41)/2</f>
        <v>0</v>
      </c>
      <c r="L41" s="1930"/>
      <c r="M41" s="1931"/>
      <c r="N41" s="1377">
        <f t="shared" ref="N41:N44" si="1">+K41*M41</f>
        <v>0</v>
      </c>
    </row>
    <row r="42" spans="1:14">
      <c r="B42" s="1911" t="str">
        <f>+B$33+1&amp;"c"</f>
        <v>9c</v>
      </c>
      <c r="D42" s="1912"/>
      <c r="E42" s="1914"/>
      <c r="F42" s="1914"/>
      <c r="G42" s="1929"/>
      <c r="H42" s="1407"/>
      <c r="I42" s="655"/>
      <c r="J42" s="655"/>
      <c r="K42" s="1409">
        <f t="shared" si="0"/>
        <v>0</v>
      </c>
      <c r="L42" s="1930"/>
      <c r="M42" s="1932"/>
      <c r="N42" s="1377">
        <f t="shared" si="1"/>
        <v>0</v>
      </c>
    </row>
    <row r="43" spans="1:14">
      <c r="B43" s="1911" t="str">
        <f>+B$33+1&amp;"d"</f>
        <v>9d</v>
      </c>
      <c r="D43" s="1912"/>
      <c r="E43" s="1914"/>
      <c r="F43" s="1914"/>
      <c r="G43" s="1929"/>
      <c r="H43" s="1407"/>
      <c r="I43" s="655"/>
      <c r="J43" s="1408"/>
      <c r="K43" s="1409">
        <f t="shared" si="0"/>
        <v>0</v>
      </c>
      <c r="L43" s="1916"/>
      <c r="M43" s="1931"/>
      <c r="N43" s="1377">
        <f t="shared" si="1"/>
        <v>0</v>
      </c>
    </row>
    <row r="44" spans="1:14">
      <c r="B44" s="1911" t="str">
        <f>+B$33+1&amp;"e"</f>
        <v>9e</v>
      </c>
      <c r="D44" s="1912"/>
      <c r="E44" s="1914"/>
      <c r="F44" s="1914"/>
      <c r="G44" s="1929"/>
      <c r="H44" s="1407"/>
      <c r="I44" s="655"/>
      <c r="J44" s="1408"/>
      <c r="K44" s="1409">
        <f t="shared" si="0"/>
        <v>0</v>
      </c>
      <c r="L44" s="1916"/>
      <c r="M44" s="1931"/>
      <c r="N44" s="1377">
        <f t="shared" si="1"/>
        <v>0</v>
      </c>
    </row>
    <row r="45" spans="1:14">
      <c r="B45" s="1911">
        <f>+B39+1</f>
        <v>10</v>
      </c>
      <c r="D45" s="1905" t="s">
        <v>761</v>
      </c>
      <c r="E45" s="1905"/>
      <c r="F45" s="1905"/>
      <c r="G45" s="1905"/>
      <c r="H45" s="1905"/>
      <c r="I45" s="1413">
        <f>+SUM(I40:I44)</f>
        <v>0</v>
      </c>
      <c r="J45" s="1413">
        <f t="shared" ref="J45:K45" si="2">+SUM(J40:J44)</f>
        <v>0</v>
      </c>
      <c r="K45" s="1413">
        <f t="shared" si="2"/>
        <v>0</v>
      </c>
      <c r="L45" s="1905"/>
      <c r="M45" s="1905"/>
      <c r="N45" s="1413">
        <f>+SUM(N40:N44)</f>
        <v>0</v>
      </c>
    </row>
    <row r="46" spans="1:14">
      <c r="B46" s="1597"/>
    </row>
    <row r="47" spans="1:14" ht="18">
      <c r="A47" s="1095"/>
      <c r="B47" s="1933" t="s">
        <v>313</v>
      </c>
      <c r="C47" s="1933"/>
      <c r="D47" s="1933"/>
      <c r="E47" s="1933"/>
      <c r="F47" s="1933"/>
      <c r="G47" s="1933"/>
      <c r="H47" s="1933"/>
      <c r="I47" s="1933"/>
      <c r="J47" s="1095"/>
    </row>
    <row r="48" spans="1:14" ht="23.25" customHeight="1">
      <c r="A48" s="1095"/>
      <c r="B48" s="1934">
        <v>1</v>
      </c>
      <c r="C48" s="1935"/>
      <c r="D48" s="2107" t="s">
        <v>770</v>
      </c>
      <c r="E48" s="2107"/>
      <c r="F48" s="2107"/>
      <c r="G48" s="2107"/>
      <c r="H48" s="2107"/>
      <c r="I48" s="2107"/>
      <c r="J48" s="2107"/>
      <c r="K48" s="2107"/>
      <c r="L48" s="2107"/>
      <c r="M48" s="2107"/>
      <c r="N48" s="2107"/>
    </row>
    <row r="49" spans="1:15" ht="18">
      <c r="A49" s="1095"/>
      <c r="B49" s="1934">
        <v>2</v>
      </c>
      <c r="C49" s="1936"/>
      <c r="D49" s="2107" t="s">
        <v>882</v>
      </c>
      <c r="E49" s="2107"/>
      <c r="F49" s="2107"/>
      <c r="G49" s="2107"/>
      <c r="H49" s="2107"/>
      <c r="I49" s="2107"/>
      <c r="J49" s="2107"/>
      <c r="K49" s="2107"/>
      <c r="L49" s="2107"/>
      <c r="M49" s="2107"/>
      <c r="N49" s="2107"/>
      <c r="O49" s="279"/>
    </row>
    <row r="50" spans="1:15" ht="33" customHeight="1">
      <c r="A50" s="1095"/>
      <c r="B50" s="1934">
        <v>3</v>
      </c>
      <c r="C50" s="1937"/>
      <c r="D50" s="2107" t="s">
        <v>767</v>
      </c>
      <c r="E50" s="2107"/>
      <c r="F50" s="2107"/>
      <c r="G50" s="2107"/>
      <c r="H50" s="2107"/>
      <c r="I50" s="2107"/>
      <c r="J50" s="2107"/>
      <c r="K50" s="2107"/>
      <c r="L50" s="2107"/>
      <c r="M50" s="2107"/>
      <c r="N50" s="2107"/>
      <c r="O50" s="279"/>
    </row>
    <row r="51" spans="1:15" ht="18">
      <c r="A51" s="943"/>
      <c r="B51" s="1934">
        <v>4</v>
      </c>
      <c r="C51" s="943"/>
      <c r="D51" s="2107" t="s">
        <v>883</v>
      </c>
      <c r="E51" s="2107"/>
      <c r="F51" s="2107"/>
      <c r="G51" s="2107"/>
      <c r="H51" s="2107"/>
      <c r="I51" s="2107"/>
      <c r="J51" s="2107"/>
      <c r="K51" s="2107"/>
      <c r="L51" s="2107"/>
      <c r="M51" s="2107"/>
      <c r="N51" s="2107"/>
      <c r="O51" s="1904"/>
    </row>
    <row r="52" spans="1:15" ht="30.75" customHeight="1">
      <c r="B52" s="1934">
        <v>5</v>
      </c>
      <c r="C52" s="943"/>
      <c r="D52" s="2107" t="s">
        <v>777</v>
      </c>
      <c r="E52" s="2107"/>
      <c r="F52" s="2107"/>
      <c r="G52" s="2107"/>
      <c r="H52" s="2107"/>
      <c r="I52" s="2107"/>
      <c r="J52" s="2107"/>
      <c r="K52" s="2107"/>
      <c r="L52" s="2107"/>
      <c r="M52" s="2107"/>
      <c r="N52" s="2107"/>
    </row>
    <row r="53" spans="1:15" ht="18">
      <c r="B53" s="1934">
        <v>6</v>
      </c>
      <c r="C53" s="943"/>
      <c r="D53" s="2107" t="s">
        <v>776</v>
      </c>
      <c r="E53" s="2107"/>
      <c r="F53" s="2107"/>
      <c r="G53" s="2107"/>
      <c r="H53" s="2107"/>
      <c r="I53" s="2107"/>
      <c r="J53" s="2107"/>
      <c r="K53" s="2107"/>
      <c r="L53" s="2107"/>
      <c r="M53" s="2107"/>
      <c r="N53" s="2107"/>
    </row>
  </sheetData>
  <mergeCells count="13">
    <mergeCell ref="D53:N53"/>
    <mergeCell ref="D38:E38"/>
    <mergeCell ref="D48:N48"/>
    <mergeCell ref="D49:N49"/>
    <mergeCell ref="D50:N50"/>
    <mergeCell ref="D51:N51"/>
    <mergeCell ref="D52:N52"/>
    <mergeCell ref="D8:E8"/>
    <mergeCell ref="A2:J2"/>
    <mergeCell ref="A3:J3"/>
    <mergeCell ref="A4:J4"/>
    <mergeCell ref="A5:J5"/>
    <mergeCell ref="D7:E7"/>
  </mergeCells>
  <printOptions horizontalCentered="1"/>
  <pageMargins left="0.25" right="0.25" top="1" bottom="0" header="0.65" footer="0"/>
  <pageSetup scale="52" fitToHeight="2" orientation="portrait" horizontalDpi="1200" verticalDpi="1200" r:id="rId1"/>
  <headerFooter alignWithMargins="0">
    <oddHeader xml:space="preserve">&amp;R&amp;12AEP - SPP Transco Formula Rate
TCOS - WS S
Page: &amp;P of &amp;N&amp;16
</oddHeader>
    <oddFooter xml:space="preserve">&amp;R &amp;C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249977111117893"/>
    <pageSetUpPr fitToPage="1"/>
  </sheetPr>
  <dimension ref="A2:U520"/>
  <sheetViews>
    <sheetView topLeftCell="A181" zoomScale="70" zoomScaleNormal="70" zoomScaleSheetLayoutView="75" zoomScalePageLayoutView="70" workbookViewId="0">
      <selection activeCell="L208" sqref="L208"/>
    </sheetView>
  </sheetViews>
  <sheetFormatPr defaultColWidth="11.453125" defaultRowHeight="15.5"/>
  <cols>
    <col min="1" max="1" width="4.7265625" style="53" customWidth="1"/>
    <col min="2" max="2" width="7.81640625" style="52" customWidth="1"/>
    <col min="3" max="3" width="1.81640625" style="53" customWidth="1"/>
    <col min="4" max="4" width="63.26953125" style="53" customWidth="1"/>
    <col min="5" max="5" width="37.26953125" style="53" customWidth="1"/>
    <col min="6" max="6" width="26.1796875" style="53" customWidth="1"/>
    <col min="7" max="7" width="20.7265625" style="53" customWidth="1"/>
    <col min="8" max="8" width="18.81640625" style="53" customWidth="1"/>
    <col min="9" max="9" width="9.81640625" style="53" customWidth="1"/>
    <col min="10" max="10" width="21.81640625" style="53" bestFit="1" customWidth="1"/>
    <col min="11" max="11" width="4.7265625" style="53" customWidth="1"/>
    <col min="12" max="12" width="23.54296875" style="53" bestFit="1" customWidth="1"/>
    <col min="13" max="13" width="19.453125" style="53" customWidth="1"/>
    <col min="14" max="14" width="12.81640625" style="53" customWidth="1"/>
    <col min="15" max="15" width="3.1796875" style="53" customWidth="1"/>
    <col min="16" max="16" width="21.81640625" style="53" customWidth="1"/>
    <col min="17" max="17" width="11.453125" style="53" customWidth="1"/>
    <col min="18" max="18" width="20.54296875" style="53" bestFit="1" customWidth="1"/>
    <col min="19" max="16384" width="11.453125" style="53"/>
  </cols>
  <sheetData>
    <row r="2" spans="2:16">
      <c r="D2" s="272"/>
      <c r="E2" s="273"/>
      <c r="F2" s="273"/>
      <c r="G2" s="274"/>
      <c r="I2" s="275"/>
      <c r="J2" s="275"/>
      <c r="K2" s="275"/>
      <c r="N2" s="276">
        <v>2019</v>
      </c>
      <c r="P2" s="53" t="s">
        <v>417</v>
      </c>
    </row>
    <row r="3" spans="2:16">
      <c r="N3" s="277"/>
    </row>
    <row r="4" spans="2:16">
      <c r="D4" s="57"/>
      <c r="E4" s="57"/>
      <c r="F4" s="58" t="s">
        <v>930</v>
      </c>
      <c r="G4" s="278"/>
      <c r="H4" s="278"/>
      <c r="J4" s="57"/>
      <c r="K4" s="60"/>
      <c r="L4" s="60"/>
      <c r="M4" s="55"/>
    </row>
    <row r="5" spans="2:16">
      <c r="D5" s="57"/>
      <c r="E5" s="61"/>
      <c r="F5" s="58" t="s">
        <v>50</v>
      </c>
      <c r="G5" s="278"/>
      <c r="H5" s="278"/>
      <c r="J5" s="61"/>
      <c r="K5" s="60"/>
      <c r="L5" s="60"/>
      <c r="M5" s="55"/>
    </row>
    <row r="6" spans="2:16">
      <c r="D6" s="60"/>
      <c r="E6" s="60"/>
      <c r="F6" s="111" t="str">
        <f>"Utilizing Actual / Projected Cost Data for the "&amp;N2&amp;" Rate Year"</f>
        <v>Utilizing Actual / Projected Cost Data for the 2019 Rate Year</v>
      </c>
      <c r="G6" s="278"/>
      <c r="H6" s="278"/>
      <c r="J6" s="60"/>
      <c r="K6" s="60"/>
      <c r="L6" s="60"/>
      <c r="M6" s="55"/>
    </row>
    <row r="7" spans="2:16">
      <c r="B7" s="64"/>
      <c r="C7" s="65"/>
      <c r="D7" s="60"/>
      <c r="H7" s="66"/>
      <c r="I7" s="66"/>
      <c r="J7" s="66"/>
      <c r="K7" s="66"/>
      <c r="L7" s="60"/>
      <c r="M7" s="60"/>
    </row>
    <row r="8" spans="2:16">
      <c r="B8" s="64"/>
      <c r="C8" s="65"/>
      <c r="D8" s="279"/>
      <c r="E8" s="60"/>
      <c r="F8" s="280" t="s">
        <v>936</v>
      </c>
      <c r="G8" s="68"/>
      <c r="H8" s="60"/>
      <c r="I8" s="60"/>
      <c r="J8" s="60"/>
      <c r="K8" s="60"/>
      <c r="L8" s="279"/>
      <c r="M8" s="279"/>
      <c r="N8" s="279"/>
    </row>
    <row r="9" spans="2:16">
      <c r="B9" s="64"/>
      <c r="C9" s="65"/>
      <c r="D9" s="60"/>
      <c r="E9" s="60"/>
      <c r="F9" s="281"/>
      <c r="G9" s="68"/>
      <c r="H9" s="60"/>
      <c r="I9" s="60"/>
      <c r="J9" s="60"/>
      <c r="K9" s="60"/>
      <c r="L9" s="279"/>
      <c r="M9" s="279"/>
      <c r="N9" s="279"/>
    </row>
    <row r="10" spans="2:16">
      <c r="B10" s="64" t="s">
        <v>307</v>
      </c>
      <c r="C10" s="65"/>
      <c r="D10" s="60"/>
      <c r="E10" s="60"/>
      <c r="F10" s="60"/>
      <c r="G10" s="68"/>
      <c r="H10" s="60"/>
      <c r="I10" s="60"/>
      <c r="J10" s="60"/>
      <c r="K10" s="60"/>
      <c r="L10" s="65" t="s">
        <v>254</v>
      </c>
      <c r="M10" s="279"/>
      <c r="N10" s="279"/>
    </row>
    <row r="11" spans="2:16" ht="16" thickBot="1">
      <c r="B11" s="73" t="s">
        <v>256</v>
      </c>
      <c r="C11" s="74"/>
      <c r="D11" s="60"/>
      <c r="E11" s="74"/>
      <c r="F11" s="60"/>
      <c r="G11" s="60"/>
      <c r="H11" s="60"/>
      <c r="I11" s="60"/>
      <c r="J11" s="60"/>
      <c r="K11" s="60"/>
      <c r="L11" s="282" t="s">
        <v>308</v>
      </c>
      <c r="M11" s="279"/>
      <c r="N11" s="279"/>
    </row>
    <row r="12" spans="2:16">
      <c r="B12" s="64">
        <v>1</v>
      </c>
      <c r="C12" s="65"/>
      <c r="D12" s="283" t="s">
        <v>250</v>
      </c>
      <c r="E12" s="60" t="str">
        <f>"(ln "&amp;B193&amp;")"</f>
        <v>(ln 117)</v>
      </c>
      <c r="F12" s="60"/>
      <c r="G12" s="284"/>
      <c r="H12" s="285"/>
      <c r="I12" s="60"/>
      <c r="J12" s="60"/>
      <c r="K12" s="60"/>
      <c r="L12" s="81">
        <f>+L193</f>
        <v>118750671.40136826</v>
      </c>
      <c r="M12" s="279"/>
      <c r="N12" s="279"/>
    </row>
    <row r="13" spans="2:16" ht="16" thickBot="1">
      <c r="B13" s="64"/>
      <c r="C13" s="65"/>
      <c r="E13" s="286"/>
      <c r="F13" s="61"/>
      <c r="G13" s="282" t="s">
        <v>257</v>
      </c>
      <c r="H13" s="61"/>
      <c r="I13" s="287" t="s">
        <v>258</v>
      </c>
      <c r="J13" s="287"/>
      <c r="K13" s="60"/>
      <c r="L13" s="284"/>
      <c r="M13" s="279"/>
      <c r="N13" s="279"/>
    </row>
    <row r="14" spans="2:16">
      <c r="B14" s="64">
        <f>+B12+1</f>
        <v>2</v>
      </c>
      <c r="C14" s="65"/>
      <c r="D14" s="288" t="s">
        <v>306</v>
      </c>
      <c r="E14" s="286" t="s">
        <v>599</v>
      </c>
      <c r="F14" s="61"/>
      <c r="G14" s="289">
        <f>+'OKT WS H Rev Credits'!M52</f>
        <v>5046052.139999982</v>
      </c>
      <c r="H14" s="61"/>
      <c r="I14" s="290" t="s">
        <v>268</v>
      </c>
      <c r="J14" s="291">
        <v>1</v>
      </c>
      <c r="K14" s="61"/>
      <c r="L14" s="292">
        <f>+J14*G14</f>
        <v>5046052.139999982</v>
      </c>
      <c r="M14" s="279"/>
      <c r="N14" s="279"/>
    </row>
    <row r="15" spans="2:16">
      <c r="B15" s="64"/>
      <c r="C15" s="65"/>
      <c r="D15" s="288"/>
      <c r="E15" s="286"/>
      <c r="F15" s="61"/>
      <c r="G15" s="289"/>
      <c r="H15" s="61"/>
      <c r="I15" s="290"/>
      <c r="J15" s="291"/>
      <c r="K15" s="61"/>
      <c r="L15" s="292"/>
      <c r="M15" s="279"/>
      <c r="N15" s="279"/>
    </row>
    <row r="16" spans="2:16">
      <c r="B16" s="64">
        <f>+B14+1</f>
        <v>3</v>
      </c>
      <c r="C16" s="65"/>
      <c r="D16" s="283" t="s">
        <v>530</v>
      </c>
      <c r="E16" s="286" t="s">
        <v>622</v>
      </c>
      <c r="F16" s="61"/>
      <c r="G16" s="293"/>
      <c r="H16" s="61"/>
      <c r="I16" s="290"/>
      <c r="J16" s="291"/>
      <c r="K16" s="60"/>
      <c r="L16" s="293">
        <f>+'OKT WS B - Facility credits'!D9</f>
        <v>0</v>
      </c>
      <c r="M16" s="279"/>
      <c r="N16" s="279"/>
    </row>
    <row r="17" spans="2:14">
      <c r="B17" s="64"/>
      <c r="C17" s="65"/>
      <c r="E17" s="286"/>
      <c r="F17" s="61"/>
      <c r="G17" s="74"/>
      <c r="H17" s="61"/>
      <c r="I17" s="294"/>
      <c r="J17" s="294"/>
      <c r="K17" s="60"/>
      <c r="L17" s="284"/>
      <c r="M17" s="279"/>
      <c r="N17" s="279"/>
    </row>
    <row r="18" spans="2:14" ht="16" thickBot="1">
      <c r="B18" s="64">
        <f>+B16+1</f>
        <v>4</v>
      </c>
      <c r="C18" s="65"/>
      <c r="D18" s="295" t="s">
        <v>33</v>
      </c>
      <c r="E18" s="286" t="str">
        <f>"(ln "&amp;B12&amp;" less ln "&amp;B14&amp;" plus ln " &amp;B16&amp;")"</f>
        <v>(ln 1 less ln 2 plus ln 3)</v>
      </c>
      <c r="F18" s="60"/>
      <c r="H18" s="61"/>
      <c r="I18" s="290"/>
      <c r="J18" s="61"/>
      <c r="K18" s="61"/>
      <c r="L18" s="296">
        <f>+L12-L14+L16</f>
        <v>113704619.26136827</v>
      </c>
      <c r="M18" s="279"/>
      <c r="N18" s="279"/>
    </row>
    <row r="19" spans="2:14" ht="16" thickTop="1">
      <c r="B19" s="64"/>
      <c r="C19" s="65"/>
      <c r="D19" s="288"/>
      <c r="E19" s="286"/>
      <c r="F19" s="60"/>
      <c r="H19" s="61"/>
      <c r="I19" s="290"/>
      <c r="J19" s="61"/>
      <c r="K19" s="61"/>
      <c r="L19" s="297"/>
      <c r="M19" s="279"/>
      <c r="N19" s="279"/>
    </row>
    <row r="20" spans="2:14" ht="15" customHeight="1">
      <c r="B20" s="1976" t="str">
        <f>"MEMO:  The Carrying Charge Calculations on lines "&amp;B26&amp;" to "&amp;B33&amp;" below are used in calculating project revenue requirements billed through SPP Schedule 11.  The total non-incentive revenue requirement for these projects shown on line "&amp;B23&amp;" is included in the total on line "&amp;B18&amp;"."</f>
        <v>MEMO:  The Carrying Charge Calculations on lines 7 to 12 below are used in calculating project revenue requirements billed through SPP Schedule 11.  The total non-incentive revenue requirement for these projects shown on line 5 is included in the total on line 4.</v>
      </c>
      <c r="C20" s="1976"/>
      <c r="D20" s="1976"/>
      <c r="E20" s="1976"/>
      <c r="F20" s="1976"/>
      <c r="G20" s="1976"/>
      <c r="H20" s="1976"/>
      <c r="I20" s="1976"/>
      <c r="J20" s="279"/>
      <c r="M20" s="279"/>
      <c r="N20" s="279"/>
    </row>
    <row r="21" spans="2:14" ht="18.75" customHeight="1">
      <c r="B21" s="1976"/>
      <c r="C21" s="1976"/>
      <c r="D21" s="1976"/>
      <c r="E21" s="1976"/>
      <c r="F21" s="1976"/>
      <c r="G21" s="1976"/>
      <c r="H21" s="1976"/>
      <c r="I21" s="1976"/>
      <c r="J21" s="279"/>
      <c r="K21" s="279"/>
      <c r="L21" s="279"/>
      <c r="M21" s="279"/>
      <c r="N21" s="279"/>
    </row>
    <row r="22" spans="2:14" ht="15" customHeight="1">
      <c r="B22" s="298"/>
      <c r="C22" s="298"/>
      <c r="D22" s="298"/>
      <c r="E22" s="298"/>
      <c r="F22" s="298"/>
      <c r="G22" s="298"/>
      <c r="H22" s="298"/>
      <c r="I22" s="298"/>
      <c r="M22" s="279"/>
      <c r="N22" s="279"/>
    </row>
    <row r="23" spans="2:14">
      <c r="B23" s="64">
        <f>+B18+1</f>
        <v>5</v>
      </c>
      <c r="C23" s="65"/>
      <c r="D23" s="1985" t="s">
        <v>623</v>
      </c>
      <c r="E23" s="1986"/>
      <c r="F23" s="61"/>
      <c r="G23" s="299">
        <f>+'OKT WS G BPU ATRR'!N19</f>
        <v>39138830.897015929</v>
      </c>
      <c r="H23" s="61"/>
      <c r="I23" s="290" t="s">
        <v>268</v>
      </c>
      <c r="J23" s="291">
        <v>1</v>
      </c>
      <c r="K23" s="60"/>
      <c r="L23" s="297">
        <f>+J23*G23</f>
        <v>39138830.897015929</v>
      </c>
      <c r="M23" s="279"/>
      <c r="N23" s="279"/>
    </row>
    <row r="24" spans="2:14">
      <c r="B24" s="64"/>
      <c r="C24" s="65"/>
      <c r="D24" s="1986"/>
      <c r="E24" s="1986"/>
      <c r="F24" s="61"/>
      <c r="G24" s="299"/>
      <c r="H24" s="61"/>
      <c r="I24" s="61"/>
      <c r="J24" s="291"/>
      <c r="K24" s="60"/>
      <c r="L24" s="297"/>
      <c r="M24" s="279"/>
      <c r="N24" s="279"/>
    </row>
    <row r="25" spans="2:14">
      <c r="B25" s="64">
        <f>+B23+1</f>
        <v>6</v>
      </c>
      <c r="C25" s="65"/>
      <c r="D25" s="288" t="s">
        <v>34</v>
      </c>
      <c r="E25" s="286"/>
      <c r="F25" s="60"/>
      <c r="G25" s="300"/>
      <c r="H25" s="60"/>
      <c r="J25" s="60"/>
      <c r="K25" s="60"/>
      <c r="M25" s="279"/>
      <c r="N25" s="279"/>
    </row>
    <row r="26" spans="2:14">
      <c r="B26" s="64">
        <f>B25+1</f>
        <v>7</v>
      </c>
      <c r="C26" s="65"/>
      <c r="D26" s="57" t="s">
        <v>367</v>
      </c>
      <c r="E26" s="60" t="str">
        <f>"(ln "&amp;B12&amp;"/ ln "&amp;B79&amp;" x 100%)"</f>
        <v>(ln 1/ ln 37 x 100%)</v>
      </c>
      <c r="F26" s="65"/>
      <c r="G26" s="65"/>
      <c r="H26" s="65"/>
      <c r="I26" s="301"/>
      <c r="J26" s="301"/>
      <c r="K26" s="301"/>
      <c r="L26" s="302">
        <f>IF(L79=0,0,(L12)/L79)</f>
        <v>0.14008732356716339</v>
      </c>
      <c r="M26" s="279"/>
      <c r="N26" s="279"/>
    </row>
    <row r="27" spans="2:14">
      <c r="B27" s="64">
        <f>B26+1</f>
        <v>8</v>
      </c>
      <c r="C27" s="65"/>
      <c r="D27" s="57" t="s">
        <v>368</v>
      </c>
      <c r="E27" s="60" t="str">
        <f>"(ln "&amp;B26&amp;" / 12)"</f>
        <v>(ln 7 / 12)</v>
      </c>
      <c r="F27" s="65"/>
      <c r="G27" s="65"/>
      <c r="H27" s="65"/>
      <c r="I27" s="301"/>
      <c r="J27" s="301"/>
      <c r="K27" s="301"/>
      <c r="L27" s="303">
        <f>L26/12</f>
        <v>1.1673943630596949E-2</v>
      </c>
      <c r="M27" s="279"/>
      <c r="N27" s="279"/>
    </row>
    <row r="28" spans="2:14">
      <c r="B28" s="64"/>
      <c r="C28" s="65"/>
      <c r="D28" s="57"/>
      <c r="E28" s="60"/>
      <c r="F28" s="65"/>
      <c r="G28" s="65"/>
      <c r="H28" s="65"/>
      <c r="I28" s="301"/>
      <c r="J28" s="301"/>
      <c r="K28" s="301"/>
      <c r="L28" s="303"/>
      <c r="M28" s="279"/>
      <c r="N28" s="279"/>
    </row>
    <row r="29" spans="2:14">
      <c r="B29" s="64">
        <f>B27+1</f>
        <v>9</v>
      </c>
      <c r="C29" s="65"/>
      <c r="D29" s="288" t="str">
        <f>"NET PLANT CARRYING CHARGE ON LINE "&amp;B26&amp;" , W/O DEPRECIATION (w/o incentives) (Note B)"</f>
        <v>NET PLANT CARRYING CHARGE ON LINE 7 , W/O DEPRECIATION (w/o incentives) (Note B)</v>
      </c>
      <c r="E29" s="60"/>
      <c r="F29" s="65"/>
      <c r="G29" s="65"/>
      <c r="H29" s="65"/>
      <c r="I29" s="301"/>
      <c r="J29" s="301"/>
      <c r="K29" s="301"/>
      <c r="L29" s="303"/>
      <c r="M29" s="279"/>
      <c r="N29" s="279"/>
    </row>
    <row r="30" spans="2:14">
      <c r="B30" s="64">
        <f>B29+1</f>
        <v>10</v>
      </c>
      <c r="C30" s="65"/>
      <c r="D30" s="57" t="s">
        <v>367</v>
      </c>
      <c r="E30" s="60" t="str">
        <f>"( (ln "&amp;B12&amp;" - ln "&amp;B153&amp;") / ln "&amp;B79&amp;" x 100%)"</f>
        <v>( (ln 1 - ln 86) / ln 37 x 100%)</v>
      </c>
      <c r="F30" s="65"/>
      <c r="G30" s="65"/>
      <c r="H30" s="65"/>
      <c r="I30" s="301"/>
      <c r="J30" s="301"/>
      <c r="K30" s="301"/>
      <c r="L30" s="302">
        <f>IF(L79=0,0,(L12-L153)/L79)</f>
        <v>0.10800922592579221</v>
      </c>
      <c r="M30" s="279"/>
      <c r="N30" s="279"/>
    </row>
    <row r="31" spans="2:14">
      <c r="B31" s="64"/>
      <c r="C31" s="65"/>
      <c r="D31" s="57"/>
      <c r="E31" s="60"/>
      <c r="F31" s="65"/>
      <c r="G31" s="65"/>
      <c r="H31" s="65"/>
      <c r="I31" s="301"/>
      <c r="J31" s="301"/>
      <c r="K31" s="301"/>
      <c r="L31" s="303"/>
      <c r="M31" s="279"/>
      <c r="N31" s="279"/>
    </row>
    <row r="32" spans="2:14">
      <c r="B32" s="64">
        <f>B30+1</f>
        <v>11</v>
      </c>
      <c r="C32" s="65"/>
      <c r="D32" s="288" t="str">
        <f>"NET PLANT CARRYING CHARGE ON LINE "&amp;B29&amp;", W/O  INCOME TAXES, RETURN  (Note B)"</f>
        <v>NET PLANT CARRYING CHARGE ON LINE 9, W/O  INCOME TAXES, RETURN  (Note B)</v>
      </c>
      <c r="E32" s="60"/>
      <c r="F32" s="65"/>
      <c r="G32" s="65"/>
      <c r="H32" s="65"/>
      <c r="I32" s="301"/>
      <c r="J32" s="301"/>
      <c r="K32" s="301"/>
      <c r="L32" s="302"/>
      <c r="M32" s="279"/>
      <c r="N32" s="279"/>
    </row>
    <row r="33" spans="2:16">
      <c r="B33" s="64">
        <f>B32+1</f>
        <v>12</v>
      </c>
      <c r="C33" s="65"/>
      <c r="D33" s="57" t="s">
        <v>367</v>
      </c>
      <c r="E33" s="60" t="str">
        <f>"( (ln "&amp;B12&amp;" - ln "&amp;B153&amp;" - ln "&amp;B182&amp;" - ln "&amp;B184&amp;") / ln "&amp;B79&amp;" x 100%)"</f>
        <v>( (ln 1 - ln 86 - ln 111 - ln 112) / ln 37 x 100%)</v>
      </c>
      <c r="F33" s="65"/>
      <c r="G33" s="65"/>
      <c r="H33" s="65"/>
      <c r="I33" s="301"/>
      <c r="J33" s="301"/>
      <c r="K33" s="301"/>
      <c r="L33" s="304">
        <f>IF(L79=0,0,(L12-L153-L182-L184)/L79)</f>
        <v>2.7426887481447008E-2</v>
      </c>
      <c r="M33" s="279"/>
      <c r="N33" s="279"/>
    </row>
    <row r="34" spans="2:16">
      <c r="B34" s="64"/>
      <c r="C34" s="65"/>
      <c r="D34" s="57"/>
      <c r="E34" s="60"/>
      <c r="F34" s="65"/>
      <c r="G34" s="65"/>
      <c r="H34" s="65"/>
      <c r="I34" s="301"/>
      <c r="J34" s="301"/>
      <c r="K34" s="301"/>
      <c r="L34" s="302"/>
      <c r="M34" s="279"/>
      <c r="N34" s="279"/>
    </row>
    <row r="35" spans="2:16">
      <c r="B35" s="64">
        <f>B33+1</f>
        <v>13</v>
      </c>
      <c r="C35" s="65"/>
      <c r="D35" s="283" t="s">
        <v>651</v>
      </c>
      <c r="E35" s="60"/>
      <c r="F35" s="65"/>
      <c r="G35" s="65"/>
      <c r="H35" s="65"/>
      <c r="I35" s="301"/>
      <c r="J35" s="301"/>
      <c r="K35" s="301"/>
      <c r="L35" s="305">
        <f>+'OKT WS G BPU ATRR'!P19</f>
        <v>0</v>
      </c>
      <c r="M35" s="279"/>
      <c r="N35" s="279"/>
    </row>
    <row r="36" spans="2:16">
      <c r="B36" s="64"/>
      <c r="C36" s="65"/>
      <c r="E36" s="60"/>
      <c r="F36" s="65"/>
      <c r="G36" s="65"/>
      <c r="H36" s="65"/>
      <c r="I36" s="301"/>
      <c r="J36" s="301"/>
      <c r="K36" s="301"/>
      <c r="L36" s="302"/>
      <c r="M36" s="279"/>
      <c r="N36" s="279"/>
    </row>
    <row r="37" spans="2:16">
      <c r="B37" s="53"/>
      <c r="C37" s="65"/>
      <c r="E37" s="60"/>
      <c r="F37" s="65"/>
      <c r="G37" s="65"/>
      <c r="H37" s="65"/>
      <c r="I37" s="301"/>
      <c r="J37" s="301"/>
      <c r="K37" s="301"/>
      <c r="L37" s="302"/>
      <c r="M37" s="279"/>
      <c r="N37" s="279"/>
    </row>
    <row r="38" spans="2:16">
      <c r="B38" s="64"/>
      <c r="C38" s="65"/>
      <c r="E38" s="60"/>
      <c r="F38" s="65"/>
      <c r="G38" s="65"/>
      <c r="H38" s="65"/>
      <c r="I38" s="301"/>
      <c r="J38" s="301"/>
      <c r="K38" s="301"/>
      <c r="L38" s="302"/>
      <c r="M38" s="279"/>
      <c r="N38" s="279"/>
    </row>
    <row r="39" spans="2:16">
      <c r="B39" s="64"/>
      <c r="C39" s="65"/>
      <c r="E39" s="60"/>
      <c r="F39" s="65"/>
      <c r="G39" s="65"/>
      <c r="H39" s="65"/>
      <c r="I39" s="301"/>
      <c r="J39" s="301"/>
      <c r="K39" s="301"/>
      <c r="L39" s="302"/>
      <c r="M39" s="279"/>
      <c r="N39" s="279"/>
    </row>
    <row r="40" spans="2:16">
      <c r="D40" s="57"/>
      <c r="E40" s="57"/>
      <c r="G40" s="285"/>
      <c r="H40" s="57"/>
      <c r="I40" s="57"/>
      <c r="J40" s="57"/>
      <c r="K40" s="57"/>
      <c r="L40" s="57"/>
      <c r="M40" s="279"/>
      <c r="N40" s="279"/>
    </row>
    <row r="41" spans="2:16">
      <c r="D41" s="57"/>
      <c r="E41" s="57"/>
      <c r="F41" s="65"/>
      <c r="G41" s="285"/>
      <c r="H41" s="57"/>
      <c r="I41" s="57"/>
      <c r="J41" s="57"/>
      <c r="K41" s="57"/>
      <c r="L41" s="57"/>
      <c r="M41" s="279"/>
      <c r="N41" s="279"/>
      <c r="P41" s="306"/>
    </row>
    <row r="42" spans="2:16">
      <c r="D42" s="57"/>
      <c r="E42" s="57"/>
      <c r="F42" s="65" t="str">
        <f>F4</f>
        <v xml:space="preserve">AEP West SPP Member Transmission Companies </v>
      </c>
      <c r="G42" s="285"/>
      <c r="H42" s="57"/>
      <c r="I42" s="57"/>
      <c r="J42" s="57"/>
      <c r="K42" s="57"/>
      <c r="L42" s="57"/>
      <c r="M42" s="279"/>
      <c r="N42" s="279"/>
      <c r="P42" s="306"/>
    </row>
    <row r="43" spans="2:16">
      <c r="D43" s="57"/>
      <c r="E43" s="61"/>
      <c r="F43" s="65" t="str">
        <f>F5</f>
        <v>Transmission Cost of Service Formula Rate</v>
      </c>
      <c r="G43" s="61"/>
      <c r="H43" s="61"/>
      <c r="I43" s="61"/>
      <c r="J43" s="61"/>
      <c r="K43" s="61"/>
      <c r="L43" s="61"/>
      <c r="M43" s="279"/>
      <c r="N43" s="279"/>
      <c r="P43" s="307"/>
    </row>
    <row r="44" spans="2:16">
      <c r="D44" s="57"/>
      <c r="E44" s="61"/>
      <c r="F44" s="290" t="str">
        <f>F6</f>
        <v>Utilizing Actual / Projected Cost Data for the 2019 Rate Year</v>
      </c>
      <c r="G44" s="61"/>
      <c r="H44" s="61"/>
      <c r="I44" s="61"/>
      <c r="J44" s="61"/>
      <c r="K44" s="61"/>
      <c r="L44" s="61"/>
      <c r="M44" s="279"/>
      <c r="N44" s="279"/>
      <c r="P44" s="307"/>
    </row>
    <row r="45" spans="2:16">
      <c r="D45" s="57"/>
      <c r="E45" s="61"/>
      <c r="F45" s="65"/>
      <c r="G45" s="61"/>
      <c r="H45" s="61"/>
      <c r="I45" s="61"/>
      <c r="J45" s="61"/>
      <c r="K45" s="61"/>
      <c r="L45" s="61"/>
      <c r="M45" s="279"/>
      <c r="N45" s="279"/>
      <c r="P45" s="307"/>
    </row>
    <row r="46" spans="2:16">
      <c r="D46" s="57"/>
      <c r="E46" s="61"/>
      <c r="F46" s="65" t="str">
        <f>F8</f>
        <v>AEP OKLAHOMA TRANSMISSION COMPANY, INC.</v>
      </c>
      <c r="G46" s="61"/>
      <c r="H46" s="61"/>
      <c r="I46" s="61"/>
      <c r="J46" s="61"/>
      <c r="K46" s="61"/>
      <c r="L46" s="61"/>
      <c r="M46" s="279"/>
      <c r="N46" s="279"/>
      <c r="P46" s="307"/>
    </row>
    <row r="47" spans="2:16">
      <c r="D47" s="57"/>
      <c r="E47" s="290"/>
      <c r="F47" s="290"/>
      <c r="G47" s="290"/>
      <c r="H47" s="290"/>
      <c r="I47" s="290"/>
      <c r="J47" s="290"/>
      <c r="K47" s="290"/>
      <c r="L47" s="61"/>
      <c r="M47" s="279"/>
      <c r="N47" s="279"/>
      <c r="P47" s="307"/>
    </row>
    <row r="48" spans="2:16">
      <c r="D48" s="65" t="s">
        <v>260</v>
      </c>
      <c r="E48" s="65" t="s">
        <v>261</v>
      </c>
      <c r="F48" s="65"/>
      <c r="G48" s="65" t="s">
        <v>262</v>
      </c>
      <c r="H48" s="61" t="s">
        <v>253</v>
      </c>
      <c r="I48" s="1979" t="s">
        <v>263</v>
      </c>
      <c r="J48" s="1980"/>
      <c r="K48" s="61"/>
      <c r="L48" s="66" t="s">
        <v>264</v>
      </c>
      <c r="M48" s="279"/>
      <c r="N48" s="279"/>
    </row>
    <row r="49" spans="2:16">
      <c r="B49" s="53"/>
      <c r="D49" s="279"/>
      <c r="E49" s="279"/>
      <c r="F49" s="279"/>
      <c r="G49" s="308"/>
      <c r="H49" s="61"/>
      <c r="I49" s="61"/>
      <c r="J49" s="309"/>
      <c r="K49" s="61"/>
      <c r="M49" s="279"/>
      <c r="N49" s="279"/>
    </row>
    <row r="50" spans="2:16">
      <c r="B50" s="310"/>
      <c r="C50" s="65"/>
      <c r="D50" s="279"/>
      <c r="E50" s="311" t="s">
        <v>239</v>
      </c>
      <c r="F50" s="70"/>
      <c r="G50" s="61"/>
      <c r="H50" s="61"/>
      <c r="I50" s="61"/>
      <c r="J50" s="65"/>
      <c r="K50" s="61"/>
      <c r="L50" s="67" t="s">
        <v>257</v>
      </c>
      <c r="M50" s="279"/>
      <c r="N50" s="279"/>
      <c r="P50" s="306"/>
    </row>
    <row r="51" spans="2:16">
      <c r="B51" s="53"/>
      <c r="C51" s="74"/>
      <c r="D51" s="312" t="s">
        <v>238</v>
      </c>
      <c r="E51" s="313" t="s">
        <v>251</v>
      </c>
      <c r="F51" s="61"/>
      <c r="G51" s="312" t="s">
        <v>225</v>
      </c>
      <c r="H51" s="314"/>
      <c r="I51" s="1977" t="s">
        <v>258</v>
      </c>
      <c r="J51" s="1978"/>
      <c r="K51" s="314"/>
      <c r="L51" s="312" t="s">
        <v>254</v>
      </c>
      <c r="M51" s="279"/>
      <c r="N51" s="279"/>
    </row>
    <row r="52" spans="2:16">
      <c r="B52" s="75" t="str">
        <f>B10</f>
        <v>Line</v>
      </c>
      <c r="C52" s="65"/>
      <c r="D52" s="57"/>
      <c r="E52" s="61"/>
      <c r="F52" s="61"/>
      <c r="G52" s="315" t="s">
        <v>141</v>
      </c>
      <c r="H52" s="61"/>
      <c r="I52" s="61"/>
      <c r="J52" s="61"/>
      <c r="K52" s="61"/>
      <c r="L52" s="61"/>
      <c r="M52" s="279"/>
      <c r="N52" s="279"/>
    </row>
    <row r="53" spans="2:16" ht="16" thickBot="1">
      <c r="B53" s="73" t="str">
        <f>B11</f>
        <v>No.</v>
      </c>
      <c r="C53" s="65"/>
      <c r="D53" s="57" t="s">
        <v>226</v>
      </c>
      <c r="E53" s="316"/>
      <c r="F53" s="316"/>
      <c r="G53" s="61"/>
      <c r="H53" s="61"/>
      <c r="I53" s="290"/>
      <c r="J53" s="61"/>
      <c r="K53" s="61"/>
      <c r="L53" s="61"/>
      <c r="M53" s="279"/>
      <c r="N53" s="279"/>
    </row>
    <row r="54" spans="2:16">
      <c r="B54" s="64">
        <f>+B35+1</f>
        <v>14</v>
      </c>
      <c r="C54" s="65"/>
      <c r="D54" s="317" t="s">
        <v>265</v>
      </c>
      <c r="E54" s="61" t="str">
        <f>"(Worksheet A-1 ln "&amp;'OKT WS A-1 - Plant'!A24&amp;".B)"</f>
        <v>(Worksheet A-1 ln 14.B)</v>
      </c>
      <c r="F54" s="318"/>
      <c r="G54" s="299">
        <f>+'OKT WS A-1 - Plant'!C24</f>
        <v>0</v>
      </c>
      <c r="H54" s="299"/>
      <c r="I54" s="290" t="s">
        <v>266</v>
      </c>
      <c r="J54" s="291">
        <v>0</v>
      </c>
      <c r="K54" s="61"/>
      <c r="L54" s="299">
        <f>+J54*G54</f>
        <v>0</v>
      </c>
      <c r="M54" s="279"/>
      <c r="N54" s="279"/>
    </row>
    <row r="55" spans="2:16">
      <c r="B55" s="64">
        <f t="shared" ref="B55:B63" si="0">+B54+1</f>
        <v>15</v>
      </c>
      <c r="C55" s="65"/>
      <c r="D55" s="317" t="s">
        <v>19</v>
      </c>
      <c r="E55" s="61" t="str">
        <f>"(Worksheet A-1 ln "&amp;'OKT WS A-1 - Plant'!A24&amp;".C)"</f>
        <v>(Worksheet A-1 ln 14.C)</v>
      </c>
      <c r="F55" s="318"/>
      <c r="G55" s="299">
        <f>-'OKT WS A-1 - Plant'!D24</f>
        <v>0</v>
      </c>
      <c r="H55" s="299"/>
      <c r="I55" s="290" t="s">
        <v>266</v>
      </c>
      <c r="J55" s="291">
        <v>0</v>
      </c>
      <c r="K55" s="61"/>
      <c r="L55" s="299">
        <f>+J55*G55</f>
        <v>0</v>
      </c>
      <c r="M55" s="279"/>
      <c r="N55" s="279"/>
    </row>
    <row r="56" spans="2:16">
      <c r="B56" s="64">
        <f t="shared" si="0"/>
        <v>16</v>
      </c>
      <c r="C56" s="319"/>
      <c r="D56" s="320" t="s">
        <v>267</v>
      </c>
      <c r="E56" s="61" t="str">
        <f>"(Worksheet A-1 ln "&amp;'OKT WS A-1 - Plant'!A24&amp;".D &amp; Ln "&amp;B209</f>
        <v>(Worksheet A-1 ln 14.D &amp; Ln 121</v>
      </c>
      <c r="F56" s="321"/>
      <c r="G56" s="299">
        <f>+'OKT WS A-1 - Plant'!E24</f>
        <v>997294681.76923072</v>
      </c>
      <c r="H56" s="299"/>
      <c r="I56" s="322" t="s">
        <v>268</v>
      </c>
      <c r="J56" s="61"/>
      <c r="K56" s="323"/>
      <c r="L56" s="324">
        <f>+L209</f>
        <v>928185275.59515381</v>
      </c>
      <c r="M56" s="279"/>
      <c r="N56" s="279"/>
    </row>
    <row r="57" spans="2:16">
      <c r="B57" s="64">
        <f t="shared" si="0"/>
        <v>17</v>
      </c>
      <c r="C57" s="319"/>
      <c r="D57" s="317" t="s">
        <v>20</v>
      </c>
      <c r="E57" s="61" t="str">
        <f>"(Worksheet A-1 ln "&amp;'OKT WS A-1 - Plant'!A24&amp;".E)"</f>
        <v>(Worksheet A-1 ln 14.E)</v>
      </c>
      <c r="F57" s="321"/>
      <c r="G57" s="299">
        <f>-'OKT WS A-1 - Plant'!F24</f>
        <v>0</v>
      </c>
      <c r="H57" s="299"/>
      <c r="I57" s="322" t="s">
        <v>259</v>
      </c>
      <c r="J57" s="291">
        <f>+$L$211</f>
        <v>0.93070312372319608</v>
      </c>
      <c r="K57" s="323"/>
      <c r="L57" s="324">
        <f>+G57*J57</f>
        <v>0</v>
      </c>
      <c r="M57" s="279"/>
      <c r="N57" s="279"/>
    </row>
    <row r="58" spans="2:16">
      <c r="B58" s="64">
        <f>+B57+1</f>
        <v>18</v>
      </c>
      <c r="C58" s="319"/>
      <c r="D58" s="57" t="s">
        <v>269</v>
      </c>
      <c r="E58" s="61" t="str">
        <f>"(Worksheet A-1 ln "&amp;'OKT WS A-1 - Plant'!A24&amp;".F)"</f>
        <v>(Worksheet A-1 ln 14.F)</v>
      </c>
      <c r="F58" s="318"/>
      <c r="G58" s="299">
        <f>+'OKT WS A-1 - Plant'!G24</f>
        <v>0</v>
      </c>
      <c r="H58" s="299"/>
      <c r="I58" s="290" t="s">
        <v>266</v>
      </c>
      <c r="J58" s="291">
        <v>0</v>
      </c>
      <c r="K58" s="61"/>
      <c r="L58" s="299">
        <f>+J58*G58</f>
        <v>0</v>
      </c>
      <c r="M58" s="279"/>
      <c r="N58" s="279"/>
    </row>
    <row r="59" spans="2:16">
      <c r="B59" s="64">
        <f t="shared" si="0"/>
        <v>19</v>
      </c>
      <c r="C59" s="319"/>
      <c r="D59" s="317" t="s">
        <v>17</v>
      </c>
      <c r="E59" s="61" t="str">
        <f>"(Worksheet A-1 ln "&amp;'OKT WS A-1 - Plant'!A24&amp;".G)"</f>
        <v>(Worksheet A-1 ln 14.G)</v>
      </c>
      <c r="F59" s="318"/>
      <c r="G59" s="299">
        <f>-'OKT WS A-1 - Plant'!H24</f>
        <v>0</v>
      </c>
      <c r="H59" s="299"/>
      <c r="I59" s="290" t="s">
        <v>266</v>
      </c>
      <c r="J59" s="291">
        <v>0</v>
      </c>
      <c r="K59" s="61"/>
      <c r="L59" s="299">
        <f>+G59*J59</f>
        <v>0</v>
      </c>
      <c r="M59" s="279"/>
      <c r="N59" s="279"/>
    </row>
    <row r="60" spans="2:16">
      <c r="B60" s="64">
        <f t="shared" si="0"/>
        <v>20</v>
      </c>
      <c r="C60" s="319"/>
      <c r="D60" s="57" t="s">
        <v>270</v>
      </c>
      <c r="E60" s="61" t="str">
        <f>"(Worksheet A-1 ln "&amp;'OKT WS A-1 - Plant'!A44&amp;".B)"</f>
        <v>(Worksheet A-1 ln 28.B)</v>
      </c>
      <c r="F60" s="318"/>
      <c r="G60" s="299">
        <f>+'OKT WS A-1 - Plant'!C44</f>
        <v>17864404.230769232</v>
      </c>
      <c r="H60" s="299"/>
      <c r="I60" s="290" t="s">
        <v>271</v>
      </c>
      <c r="J60" s="291">
        <f>+$L$221</f>
        <v>0.93070312372319608</v>
      </c>
      <c r="K60" s="61"/>
      <c r="L60" s="299">
        <f>+J60*G60</f>
        <v>16626456.821030803</v>
      </c>
      <c r="M60" s="279"/>
      <c r="N60" s="279"/>
    </row>
    <row r="61" spans="2:16">
      <c r="B61" s="64">
        <f t="shared" si="0"/>
        <v>21</v>
      </c>
      <c r="C61" s="319"/>
      <c r="D61" s="317" t="s">
        <v>18</v>
      </c>
      <c r="E61" s="61" t="str">
        <f>"(Worksheet A-1 ln "&amp;'OKT WS A-1 - Plant'!A44&amp;".C)"</f>
        <v>(Worksheet A-1 ln 28.C)</v>
      </c>
      <c r="F61" s="318"/>
      <c r="G61" s="299">
        <f>-'OKT WS A-1 - Plant'!D44</f>
        <v>0</v>
      </c>
      <c r="H61" s="299"/>
      <c r="I61" s="290" t="s">
        <v>271</v>
      </c>
      <c r="J61" s="291">
        <f>+$L$221</f>
        <v>0.93070312372319608</v>
      </c>
      <c r="K61" s="61"/>
      <c r="L61" s="299">
        <f>+G61*J61</f>
        <v>0</v>
      </c>
      <c r="M61" s="279"/>
      <c r="N61" s="279"/>
    </row>
    <row r="62" spans="2:16" ht="16" thickBot="1">
      <c r="B62" s="64">
        <f t="shared" si="0"/>
        <v>22</v>
      </c>
      <c r="C62" s="319"/>
      <c r="D62" s="57" t="s">
        <v>272</v>
      </c>
      <c r="E62" s="61" t="str">
        <f>"(Worksheet A-1 ln "&amp;'OKT WS A-1 - Plant'!A44&amp;".D)"</f>
        <v>(Worksheet A-1 ln 28.D)</v>
      </c>
      <c r="F62" s="318"/>
      <c r="G62" s="325">
        <f>+'OKT WS A-1 - Plant'!E44</f>
        <v>9544117.461538462</v>
      </c>
      <c r="H62" s="299"/>
      <c r="I62" s="290" t="s">
        <v>271</v>
      </c>
      <c r="J62" s="291">
        <f>+$L$221</f>
        <v>0.93070312372319608</v>
      </c>
      <c r="K62" s="61"/>
      <c r="L62" s="325">
        <f>+J62*G62</f>
        <v>8882739.9346349481</v>
      </c>
      <c r="M62" s="279"/>
      <c r="N62" s="279"/>
      <c r="O62" s="57"/>
    </row>
    <row r="63" spans="2:16">
      <c r="B63" s="310">
        <f t="shared" si="0"/>
        <v>23</v>
      </c>
      <c r="C63" s="319"/>
      <c r="D63" s="57" t="s">
        <v>224</v>
      </c>
      <c r="E63" s="285" t="str">
        <f>"(sum lns "&amp;B54&amp;" to "&amp;B62&amp;")"</f>
        <v>(sum lns 14 to 22)</v>
      </c>
      <c r="F63" s="326"/>
      <c r="G63" s="299">
        <f>SUM(G54:G62)</f>
        <v>1024703203.4615384</v>
      </c>
      <c r="H63" s="299"/>
      <c r="I63" s="308" t="s">
        <v>607</v>
      </c>
      <c r="J63" s="327">
        <f>IF(G63=0,0,L63/G63)</f>
        <v>0.93070312372319608</v>
      </c>
      <c r="K63" s="61"/>
      <c r="L63" s="299">
        <f>SUM(L54:L62)</f>
        <v>953694472.35081959</v>
      </c>
      <c r="M63" s="279"/>
      <c r="N63" s="279"/>
      <c r="O63" s="57"/>
    </row>
    <row r="64" spans="2:16">
      <c r="B64" s="310"/>
      <c r="C64" s="65"/>
      <c r="D64" s="57"/>
      <c r="E64" s="328"/>
      <c r="F64" s="326"/>
      <c r="G64" s="329"/>
      <c r="H64" s="299"/>
      <c r="I64" s="330" t="s">
        <v>353</v>
      </c>
      <c r="J64" s="331">
        <f>+G56/(++G56+G58)</f>
        <v>1</v>
      </c>
      <c r="K64" s="61"/>
      <c r="L64" s="299"/>
      <c r="M64" s="279"/>
      <c r="N64" s="279"/>
      <c r="O64" s="57"/>
    </row>
    <row r="65" spans="2:15">
      <c r="B65" s="64">
        <f>+B63+1</f>
        <v>24</v>
      </c>
      <c r="C65" s="65"/>
      <c r="D65" s="57" t="s">
        <v>206</v>
      </c>
      <c r="E65" s="316"/>
      <c r="F65" s="316"/>
      <c r="G65" s="329"/>
      <c r="H65" s="332"/>
      <c r="I65" s="290"/>
      <c r="J65" s="333"/>
      <c r="K65" s="61"/>
      <c r="L65" s="299"/>
      <c r="M65" s="279"/>
      <c r="N65" s="279"/>
      <c r="O65" s="61"/>
    </row>
    <row r="66" spans="2:15">
      <c r="B66" s="64">
        <f t="shared" ref="B66:B75" si="1">+B65+1</f>
        <v>25</v>
      </c>
      <c r="C66" s="65"/>
      <c r="D66" s="317" t="str">
        <f>+D54</f>
        <v xml:space="preserve">  Production</v>
      </c>
      <c r="E66" s="61" t="str">
        <f>"(Worksheet A-2 ln "&amp;'OKT WS A-1 - Plant'!A24&amp;".B)"</f>
        <v>(Worksheet A-2 ln 14.B)</v>
      </c>
      <c r="F66" s="318"/>
      <c r="G66" s="299">
        <f>+'OKT WS A-2 Accumulated Depn'!C24</f>
        <v>0</v>
      </c>
      <c r="H66" s="299"/>
      <c r="I66" s="290" t="s">
        <v>266</v>
      </c>
      <c r="J66" s="291">
        <v>0</v>
      </c>
      <c r="K66" s="61"/>
      <c r="L66" s="299">
        <f>+J66*G66</f>
        <v>0</v>
      </c>
      <c r="M66" s="279"/>
      <c r="N66" s="279"/>
      <c r="O66" s="61"/>
    </row>
    <row r="67" spans="2:15">
      <c r="B67" s="64">
        <f t="shared" si="1"/>
        <v>26</v>
      </c>
      <c r="C67" s="65"/>
      <c r="D67" s="317" t="s">
        <v>19</v>
      </c>
      <c r="E67" s="61" t="str">
        <f>"(Worksheet A-2 ln "&amp;'OKT WS A-1 - Plant'!A24&amp;".C)"</f>
        <v>(Worksheet A-2 ln 14.C)</v>
      </c>
      <c r="F67" s="318"/>
      <c r="G67" s="299">
        <f>-'OKT WS A-2 Accumulated Depn'!D24</f>
        <v>0</v>
      </c>
      <c r="H67" s="299"/>
      <c r="I67" s="290" t="s">
        <v>266</v>
      </c>
      <c r="J67" s="291">
        <v>0</v>
      </c>
      <c r="K67" s="61"/>
      <c r="L67" s="299">
        <f>+J67*G67</f>
        <v>0</v>
      </c>
      <c r="M67" s="279"/>
      <c r="N67" s="279"/>
      <c r="O67" s="61"/>
    </row>
    <row r="68" spans="2:15">
      <c r="B68" s="64">
        <f t="shared" si="1"/>
        <v>27</v>
      </c>
      <c r="C68" s="319"/>
      <c r="D68" s="320" t="str">
        <f>D56</f>
        <v xml:space="preserve">  Transmission</v>
      </c>
      <c r="E68" s="61" t="str">
        <f>"(Worksheet A-2 ln "&amp;'OKT WS A-2 Accumulated Depn'!A24&amp;".D less "&amp;'OKT WS A-2 Accumulated Depn'!A46&amp;".F)"</f>
        <v>(Worksheet A-2 ln 14.D less 29.F)</v>
      </c>
      <c r="F68" s="334"/>
      <c r="G68" s="299">
        <f>+'OKT WS A-2 Accumulated Depn'!E24</f>
        <v>85939709.307692304</v>
      </c>
      <c r="H68" s="299"/>
      <c r="I68" s="335" t="s">
        <v>208</v>
      </c>
      <c r="J68" s="336">
        <f>IF(G68=0,0,L68/G68)</f>
        <v>0.93664422396978431</v>
      </c>
      <c r="K68" s="323"/>
      <c r="L68" s="299">
        <f>+'OKT WS A-2 Accumulated Depn'!G46</f>
        <v>80494932.33269231</v>
      </c>
      <c r="M68" s="279"/>
      <c r="N68" s="279"/>
      <c r="O68" s="61"/>
    </row>
    <row r="69" spans="2:15">
      <c r="B69" s="64">
        <f t="shared" si="1"/>
        <v>28</v>
      </c>
      <c r="C69" s="319"/>
      <c r="D69" s="317" t="s">
        <v>20</v>
      </c>
      <c r="E69" s="61" t="str">
        <f>"(Worksheet A-2 ln "&amp;'OKT WS A-2 Accumulated Depn'!A24&amp;".E)"</f>
        <v>(Worksheet A-2 ln 14.E)</v>
      </c>
      <c r="F69" s="321"/>
      <c r="G69" s="299">
        <f>-'OKT WS A-2 Accumulated Depn'!F24</f>
        <v>0</v>
      </c>
      <c r="H69" s="299"/>
      <c r="I69" s="335" t="s">
        <v>208</v>
      </c>
      <c r="J69" s="291">
        <f>+J68</f>
        <v>0.93664422396978431</v>
      </c>
      <c r="K69" s="323"/>
      <c r="L69" s="299">
        <f>+J69*G69</f>
        <v>0</v>
      </c>
      <c r="M69" s="279"/>
      <c r="N69" s="279"/>
      <c r="O69" s="61"/>
    </row>
    <row r="70" spans="2:15">
      <c r="B70" s="64">
        <f>+B69+1</f>
        <v>29</v>
      </c>
      <c r="C70" s="319"/>
      <c r="D70" s="57" t="str">
        <f>+D58</f>
        <v xml:space="preserve">  Distribution</v>
      </c>
      <c r="E70" s="61" t="str">
        <f>"(Worksheet A-2 ln "&amp;'OKT WS A-2 Accumulated Depn'!A24&amp;".F)"</f>
        <v>(Worksheet A-2 ln 14.F)</v>
      </c>
      <c r="F70" s="318"/>
      <c r="G70" s="299">
        <f>+'OKT WS A-2 Accumulated Depn'!G24</f>
        <v>0</v>
      </c>
      <c r="H70" s="299"/>
      <c r="I70" s="290" t="s">
        <v>266</v>
      </c>
      <c r="J70" s="291">
        <v>0</v>
      </c>
      <c r="K70" s="61"/>
      <c r="L70" s="299">
        <f t="shared" ref="L70:L74" si="2">+J70*G70</f>
        <v>0</v>
      </c>
      <c r="M70" s="279"/>
      <c r="N70" s="279"/>
      <c r="O70" s="61"/>
    </row>
    <row r="71" spans="2:15">
      <c r="B71" s="64">
        <f t="shared" si="1"/>
        <v>30</v>
      </c>
      <c r="C71" s="319"/>
      <c r="D71" s="317" t="s">
        <v>17</v>
      </c>
      <c r="E71" s="61" t="str">
        <f>"(Worksheet A-2 ln "&amp;'OKT WS A-2 Accumulated Depn'!A24&amp;".G)"</f>
        <v>(Worksheet A-2 ln 14.G)</v>
      </c>
      <c r="F71" s="318"/>
      <c r="G71" s="299">
        <f>-'OKT WS A-2 Accumulated Depn'!H24</f>
        <v>0</v>
      </c>
      <c r="H71" s="299"/>
      <c r="I71" s="290" t="s">
        <v>266</v>
      </c>
      <c r="J71" s="291">
        <v>0</v>
      </c>
      <c r="K71" s="61"/>
      <c r="L71" s="299">
        <f t="shared" si="2"/>
        <v>0</v>
      </c>
      <c r="M71" s="279"/>
      <c r="N71" s="279"/>
      <c r="O71" s="61"/>
    </row>
    <row r="72" spans="2:15">
      <c r="B72" s="64">
        <f t="shared" si="1"/>
        <v>31</v>
      </c>
      <c r="C72" s="319"/>
      <c r="D72" s="57" t="str">
        <f>+D60</f>
        <v xml:space="preserve">  General Plant   </v>
      </c>
      <c r="E72" s="61" t="str">
        <f>"(Worksheet A-2 ln "&amp;'OKT WS A-2 Accumulated Depn'!A44&amp;".B)"</f>
        <v>(Worksheet A-2 ln 28.B)</v>
      </c>
      <c r="F72" s="318"/>
      <c r="G72" s="299">
        <f>+'OKT WS A-2 Accumulated Depn'!C44</f>
        <v>525610.61538461538</v>
      </c>
      <c r="H72" s="299"/>
      <c r="I72" s="290" t="s">
        <v>271</v>
      </c>
      <c r="J72" s="291">
        <f>+$L$221</f>
        <v>0.93070312372319608</v>
      </c>
      <c r="K72" s="61"/>
      <c r="L72" s="299">
        <f t="shared" si="2"/>
        <v>489187.44160053291</v>
      </c>
      <c r="M72" s="279"/>
      <c r="N72" s="279"/>
      <c r="O72" s="61"/>
    </row>
    <row r="73" spans="2:15">
      <c r="B73" s="64">
        <f t="shared" si="1"/>
        <v>32</v>
      </c>
      <c r="C73" s="319"/>
      <c r="D73" s="317" t="s">
        <v>18</v>
      </c>
      <c r="E73" s="61" t="str">
        <f>"(Worksheet A-2 ln "&amp;'OKT WS A-2 Accumulated Depn'!A44&amp;".C)"</f>
        <v>(Worksheet A-2 ln 28.C)</v>
      </c>
      <c r="F73" s="318"/>
      <c r="G73" s="299">
        <f>-'OKT WS A-2 Accumulated Depn'!D44</f>
        <v>0</v>
      </c>
      <c r="H73" s="299"/>
      <c r="I73" s="290" t="s">
        <v>271</v>
      </c>
      <c r="J73" s="291">
        <f>+$L$221</f>
        <v>0.93070312372319608</v>
      </c>
      <c r="K73" s="61"/>
      <c r="L73" s="299">
        <f t="shared" si="2"/>
        <v>0</v>
      </c>
      <c r="M73" s="279"/>
      <c r="N73" s="279"/>
      <c r="O73" s="61"/>
    </row>
    <row r="74" spans="2:15" ht="16" thickBot="1">
      <c r="B74" s="64">
        <f t="shared" si="1"/>
        <v>33</v>
      </c>
      <c r="C74" s="319"/>
      <c r="D74" s="57" t="str">
        <f>+D62</f>
        <v xml:space="preserve">  Intangible Plant</v>
      </c>
      <c r="E74" s="61" t="str">
        <f>"(Worksheet A-2 ln "&amp;'OKT WS A-2 Accumulated Depn'!A44&amp;".D)"</f>
        <v>(Worksheet A-2 ln 28.D)</v>
      </c>
      <c r="F74" s="318"/>
      <c r="G74" s="325">
        <f>+'OKT WS A-2 Accumulated Depn'!E44</f>
        <v>2655027.3846153845</v>
      </c>
      <c r="H74" s="299"/>
      <c r="I74" s="290" t="s">
        <v>271</v>
      </c>
      <c r="J74" s="291">
        <f>+$L$221</f>
        <v>0.93070312372319608</v>
      </c>
      <c r="K74" s="61"/>
      <c r="L74" s="325">
        <f t="shared" si="2"/>
        <v>2471042.2804321661</v>
      </c>
      <c r="M74" s="279"/>
      <c r="N74" s="279"/>
      <c r="O74" s="61"/>
    </row>
    <row r="75" spans="2:15">
      <c r="B75" s="64">
        <f t="shared" si="1"/>
        <v>34</v>
      </c>
      <c r="C75" s="319"/>
      <c r="D75" s="57" t="s">
        <v>223</v>
      </c>
      <c r="E75" s="337" t="str">
        <f>"(sum lns "&amp;B66&amp;" to "&amp;B74&amp;")"</f>
        <v>(sum lns 25 to 33)</v>
      </c>
      <c r="F75" s="338"/>
      <c r="G75" s="299">
        <f>SUM(G66:G74)</f>
        <v>89120347.307692304</v>
      </c>
      <c r="H75" s="299"/>
      <c r="I75" s="290"/>
      <c r="J75" s="61"/>
      <c r="K75" s="299"/>
      <c r="L75" s="299">
        <f>SUM(L66:L74)</f>
        <v>83455162.054725006</v>
      </c>
      <c r="M75" s="279"/>
      <c r="N75" s="279"/>
      <c r="O75" s="61"/>
    </row>
    <row r="76" spans="2:15">
      <c r="B76" s="64"/>
      <c r="C76" s="65"/>
      <c r="E76" s="339"/>
      <c r="F76" s="338"/>
      <c r="G76" s="299"/>
      <c r="H76" s="299"/>
      <c r="I76" s="290"/>
      <c r="J76" s="340"/>
      <c r="K76" s="61"/>
      <c r="L76" s="299"/>
      <c r="M76" s="279"/>
      <c r="N76" s="279"/>
      <c r="O76" s="61"/>
    </row>
    <row r="77" spans="2:15">
      <c r="B77" s="64">
        <f>+B75+1</f>
        <v>35</v>
      </c>
      <c r="C77" s="65"/>
      <c r="D77" s="57" t="s">
        <v>227</v>
      </c>
      <c r="E77" s="316"/>
      <c r="F77" s="316"/>
      <c r="G77" s="299"/>
      <c r="H77" s="299"/>
      <c r="I77" s="290"/>
      <c r="J77" s="61"/>
      <c r="K77" s="61"/>
      <c r="L77" s="299"/>
      <c r="M77" s="279"/>
      <c r="N77" s="279"/>
      <c r="O77" s="61"/>
    </row>
    <row r="78" spans="2:15">
      <c r="B78" s="310">
        <f t="shared" ref="B78:B83" si="3">+B77+1</f>
        <v>36</v>
      </c>
      <c r="C78" s="319"/>
      <c r="D78" s="317" t="str">
        <f>+D66</f>
        <v xml:space="preserve">  Production</v>
      </c>
      <c r="E78" s="61" t="str">
        <f>" (ln "&amp;B54&amp;" + ln "&amp;B55&amp;" - ln "&amp;B66&amp;" - ln "&amp;B67&amp;")"</f>
        <v xml:space="preserve"> (ln 14 + ln 15 - ln 25 - ln 26)</v>
      </c>
      <c r="F78" s="61"/>
      <c r="G78" s="299">
        <f>G54+G55-G66-G67</f>
        <v>0</v>
      </c>
      <c r="H78" s="299"/>
      <c r="I78" s="290"/>
      <c r="J78" s="341"/>
      <c r="K78" s="61"/>
      <c r="L78" s="299">
        <f>L54+L55-L66-L67</f>
        <v>0</v>
      </c>
      <c r="M78" s="279"/>
      <c r="N78" s="279"/>
      <c r="O78" s="61"/>
    </row>
    <row r="79" spans="2:15">
      <c r="B79" s="310">
        <f t="shared" si="3"/>
        <v>37</v>
      </c>
      <c r="C79" s="319"/>
      <c r="D79" s="317" t="str">
        <f>+D68</f>
        <v xml:space="preserve">  Transmission</v>
      </c>
      <c r="E79" s="61" t="str">
        <f>" (ln "&amp;B56&amp;" + ln "&amp;B57&amp;" - ln "&amp;B68&amp;" - ln "&amp;B69&amp;")"</f>
        <v xml:space="preserve"> (ln 16 + ln 17 - ln 27 - ln 28)</v>
      </c>
      <c r="F79" s="318"/>
      <c r="G79" s="299">
        <f>+G56+G57-G68-G69</f>
        <v>911354972.46153843</v>
      </c>
      <c r="H79" s="299"/>
      <c r="I79" s="290"/>
      <c r="J79" s="336"/>
      <c r="K79" s="61"/>
      <c r="L79" s="299">
        <f>+L56+L57-L68-L69</f>
        <v>847690343.26246154</v>
      </c>
      <c r="M79" s="279"/>
      <c r="N79" s="279"/>
      <c r="O79" s="61"/>
    </row>
    <row r="80" spans="2:15">
      <c r="B80" s="310">
        <f>+B79+1</f>
        <v>38</v>
      </c>
      <c r="C80" s="319"/>
      <c r="D80" s="317" t="str">
        <f>+D70</f>
        <v xml:space="preserve">  Distribution</v>
      </c>
      <c r="E80" s="61" t="str">
        <f>" (ln "&amp;B58&amp;" + ln "&amp;B59&amp;" - ln "&amp;B70&amp;" - ln "&amp;B71&amp;")"</f>
        <v xml:space="preserve"> (ln 18 + ln 19 - ln 29 - ln 30)</v>
      </c>
      <c r="F80" s="61"/>
      <c r="G80" s="299">
        <f>+G58+G59-G70-G71</f>
        <v>0</v>
      </c>
      <c r="H80" s="299"/>
      <c r="I80" s="290"/>
      <c r="J80" s="340"/>
      <c r="K80" s="61"/>
      <c r="L80" s="299">
        <f>+L58+L59-L70-L71</f>
        <v>0</v>
      </c>
      <c r="M80" s="279"/>
      <c r="N80" s="279"/>
      <c r="O80" s="61"/>
    </row>
    <row r="81" spans="2:15">
      <c r="B81" s="310">
        <f t="shared" si="3"/>
        <v>39</v>
      </c>
      <c r="C81" s="319"/>
      <c r="D81" s="317" t="str">
        <f>+D72</f>
        <v xml:space="preserve">  General Plant   </v>
      </c>
      <c r="E81" s="61" t="str">
        <f>" (ln "&amp;B60&amp;" + ln "&amp;B61&amp;" - ln "&amp;B72&amp;" - ln "&amp;B73&amp;")"</f>
        <v xml:space="preserve"> (ln 20 + ln 21 - ln 31 - ln 32)</v>
      </c>
      <c r="F81" s="61"/>
      <c r="G81" s="299">
        <f>+G60+G61-G72-G73</f>
        <v>17338793.615384616</v>
      </c>
      <c r="H81" s="299"/>
      <c r="I81" s="290"/>
      <c r="J81" s="340"/>
      <c r="K81" s="61"/>
      <c r="L81" s="299">
        <f>+L60+L61-L72-L73</f>
        <v>16137269.37943027</v>
      </c>
      <c r="M81" s="279"/>
      <c r="N81" s="279"/>
      <c r="O81" s="61"/>
    </row>
    <row r="82" spans="2:15" ht="16" thickBot="1">
      <c r="B82" s="310">
        <f t="shared" si="3"/>
        <v>40</v>
      </c>
      <c r="C82" s="319"/>
      <c r="D82" s="317" t="str">
        <f>+D74</f>
        <v xml:space="preserve">  Intangible Plant</v>
      </c>
      <c r="E82" s="61" t="str">
        <f>" (ln "&amp;B62&amp;" - ln "&amp;B74&amp;")"</f>
        <v xml:space="preserve"> (ln 22 - ln 33)</v>
      </c>
      <c r="F82" s="61"/>
      <c r="G82" s="325">
        <f>+G62-G74</f>
        <v>6889090.0769230779</v>
      </c>
      <c r="H82" s="299"/>
      <c r="I82" s="290"/>
      <c r="J82" s="340"/>
      <c r="K82" s="61"/>
      <c r="L82" s="325">
        <f>+L62-L74</f>
        <v>6411697.6542027816</v>
      </c>
      <c r="M82" s="279"/>
      <c r="N82" s="279"/>
      <c r="O82" s="61"/>
    </row>
    <row r="83" spans="2:15">
      <c r="B83" s="310">
        <f t="shared" si="3"/>
        <v>41</v>
      </c>
      <c r="C83" s="319"/>
      <c r="D83" s="317" t="s">
        <v>222</v>
      </c>
      <c r="E83" s="317" t="str">
        <f>"(sum lns "&amp;B78&amp;" to "&amp;B82&amp;")"</f>
        <v>(sum lns 36 to 40)</v>
      </c>
      <c r="F83" s="61"/>
      <c r="G83" s="299">
        <f>SUM(G78:G82)</f>
        <v>935582856.15384614</v>
      </c>
      <c r="H83" s="299"/>
      <c r="I83" s="311" t="s">
        <v>608</v>
      </c>
      <c r="J83" s="327">
        <f>IF(G83=0,0,L83/G83)</f>
        <v>0.93015739287231392</v>
      </c>
      <c r="K83" s="61"/>
      <c r="L83" s="299">
        <f>SUM(L79:L82)</f>
        <v>870239310.29609466</v>
      </c>
      <c r="M83" s="279"/>
      <c r="N83" s="279"/>
      <c r="O83" s="61"/>
    </row>
    <row r="84" spans="2:15">
      <c r="B84" s="64"/>
      <c r="C84" s="65"/>
      <c r="D84" s="57"/>
      <c r="E84" s="61"/>
      <c r="F84" s="61"/>
      <c r="G84" s="299"/>
      <c r="H84" s="299"/>
      <c r="J84" s="342"/>
      <c r="K84" s="61"/>
      <c r="L84" s="299"/>
      <c r="M84" s="279"/>
      <c r="N84" s="279"/>
      <c r="O84" s="61"/>
    </row>
    <row r="85" spans="2:15">
      <c r="B85" s="64"/>
      <c r="C85" s="65"/>
      <c r="G85" s="279"/>
      <c r="H85" s="279"/>
      <c r="I85" s="279"/>
      <c r="J85" s="279"/>
      <c r="K85" s="279"/>
      <c r="L85" s="279"/>
      <c r="M85" s="279"/>
      <c r="N85" s="279"/>
      <c r="O85" s="61"/>
    </row>
    <row r="86" spans="2:15">
      <c r="B86" s="64">
        <f>+B83+1</f>
        <v>42</v>
      </c>
      <c r="C86" s="65"/>
      <c r="D86" s="57" t="s">
        <v>397</v>
      </c>
      <c r="E86" s="61" t="s">
        <v>175</v>
      </c>
      <c r="F86" s="290"/>
      <c r="G86" s="279"/>
      <c r="H86" s="279"/>
      <c r="I86" s="279"/>
      <c r="J86" s="279"/>
      <c r="K86" s="279"/>
      <c r="L86" s="279"/>
      <c r="M86" s="279"/>
      <c r="N86" s="279"/>
      <c r="O86" s="61"/>
    </row>
    <row r="87" spans="2:15">
      <c r="B87" s="310">
        <f t="shared" ref="B87:B92" si="4">+B86+1</f>
        <v>43</v>
      </c>
      <c r="C87" s="319"/>
      <c r="D87" s="317" t="s">
        <v>329</v>
      </c>
      <c r="E87" s="61" t="s">
        <v>35</v>
      </c>
      <c r="F87" s="61"/>
      <c r="G87" s="299">
        <v>0</v>
      </c>
      <c r="H87" s="299"/>
      <c r="I87" s="290" t="s">
        <v>266</v>
      </c>
      <c r="J87" s="291"/>
      <c r="K87" s="61"/>
      <c r="L87" s="299">
        <v>0</v>
      </c>
      <c r="M87" s="279"/>
      <c r="N87" s="279"/>
      <c r="O87" s="61"/>
    </row>
    <row r="88" spans="2:15">
      <c r="B88" s="310">
        <f t="shared" si="4"/>
        <v>44</v>
      </c>
      <c r="C88" s="319"/>
      <c r="D88" s="317" t="s">
        <v>330</v>
      </c>
      <c r="E88" s="61" t="str">
        <f>"(Worksheet C, ln "&amp;'OKT WS C ADIT &amp; ADITC'!A23&amp;" C &amp; ln "&amp;'OKT WS C ADIT &amp; ADITC'!A27&amp;" J)"</f>
        <v>(Worksheet C, ln 4 C &amp; ln 8 J)</v>
      </c>
      <c r="F88" s="318"/>
      <c r="G88" s="299">
        <f>'OKT WS C ADIT &amp; ADITC'!D23</f>
        <v>-171197260.185</v>
      </c>
      <c r="H88" s="299"/>
      <c r="I88" s="290" t="s">
        <v>268</v>
      </c>
      <c r="J88" s="291"/>
      <c r="K88" s="61"/>
      <c r="L88" s="299">
        <f>'OKT WS C ADIT &amp; ADITC'!J27</f>
        <v>-159642775.54678616</v>
      </c>
      <c r="M88" s="279"/>
      <c r="N88" s="279"/>
      <c r="O88" s="61"/>
    </row>
    <row r="89" spans="2:15">
      <c r="B89" s="310">
        <f t="shared" si="4"/>
        <v>45</v>
      </c>
      <c r="C89" s="319"/>
      <c r="D89" s="317" t="s">
        <v>331</v>
      </c>
      <c r="E89" s="61" t="str">
        <f>"(Worksheet C, ln "&amp;'OKT WS C ADIT &amp; ADITC'!A36&amp;" C &amp; ln "&amp;'OKT WS C ADIT &amp; ADITC'!A38&amp;" J)"</f>
        <v>(Worksheet C, ln 12 C &amp; ln 14 J)</v>
      </c>
      <c r="F89" s="318"/>
      <c r="G89" s="299">
        <f>'OKT WS C ADIT &amp; ADITC'!D36</f>
        <v>-29786964.399999999</v>
      </c>
      <c r="H89" s="299"/>
      <c r="I89" s="290" t="s">
        <v>268</v>
      </c>
      <c r="J89" s="291"/>
      <c r="K89" s="61"/>
      <c r="L89" s="299">
        <f>'OKT WS C ADIT &amp; ADITC'!J38</f>
        <v>-26201371.122041948</v>
      </c>
      <c r="M89" s="279"/>
      <c r="N89" s="279"/>
      <c r="O89" s="61"/>
    </row>
    <row r="90" spans="2:15">
      <c r="B90" s="310">
        <f t="shared" si="4"/>
        <v>46</v>
      </c>
      <c r="C90" s="319"/>
      <c r="D90" s="317" t="s">
        <v>332</v>
      </c>
      <c r="E90" s="61" t="str">
        <f>"(Worksheet C, ln "&amp;'OKT WS C ADIT &amp; ADITC'!A48&amp;" C &amp; ln "&amp;'OKT WS C ADIT &amp; ADITC'!A52&amp;" J)"</f>
        <v>(Worksheet C, ln 18 C &amp; ln 22 J)</v>
      </c>
      <c r="F90" s="318"/>
      <c r="G90" s="299">
        <f>+'OKT WS C ADIT &amp; ADITC'!D48</f>
        <v>25148668.149999999</v>
      </c>
      <c r="H90" s="299"/>
      <c r="I90" s="290" t="s">
        <v>268</v>
      </c>
      <c r="J90" s="291"/>
      <c r="K90" s="61"/>
      <c r="L90" s="299">
        <f>+'OKT WS C ADIT &amp; ADITC'!J52</f>
        <v>9501263.1515382212</v>
      </c>
      <c r="M90" s="279"/>
      <c r="N90" s="279"/>
      <c r="O90" s="61"/>
    </row>
    <row r="91" spans="2:15" ht="16" thickBot="1">
      <c r="B91" s="310">
        <f t="shared" si="4"/>
        <v>47</v>
      </c>
      <c r="C91" s="319"/>
      <c r="D91" s="82" t="s">
        <v>273</v>
      </c>
      <c r="E91" s="61" t="str">
        <f>"(Worksheet C, ln "&amp;'OKT WS C ADIT &amp; ADITC'!A62&amp;" C &amp; ln "&amp;'OKT WS C ADIT &amp; ADITC'!A64&amp;" J)"</f>
        <v>(Worksheet C, ln 26 C &amp; ln 28 J)</v>
      </c>
      <c r="F91" s="129"/>
      <c r="G91" s="325">
        <f>'OKT WS C ADIT &amp; ADITC'!D62</f>
        <v>0</v>
      </c>
      <c r="H91" s="299"/>
      <c r="I91" s="290" t="s">
        <v>268</v>
      </c>
      <c r="J91" s="291"/>
      <c r="K91" s="61"/>
      <c r="L91" s="325">
        <f>'OKT WS C ADIT &amp; ADITC'!J64</f>
        <v>0</v>
      </c>
      <c r="M91" s="279"/>
      <c r="N91" s="279"/>
      <c r="O91" s="61"/>
    </row>
    <row r="92" spans="2:15">
      <c r="B92" s="310">
        <f t="shared" si="4"/>
        <v>48</v>
      </c>
      <c r="C92" s="319"/>
      <c r="D92" s="317" t="s">
        <v>236</v>
      </c>
      <c r="E92" s="317" t="str">
        <f>"(sum lns "&amp;B87&amp;" to "&amp;B91&amp;")"</f>
        <v>(sum lns 43 to 47)</v>
      </c>
      <c r="F92" s="61"/>
      <c r="G92" s="299">
        <f>SUM(G87:G91)</f>
        <v>-175835556.435</v>
      </c>
      <c r="H92" s="279"/>
      <c r="I92" s="290"/>
      <c r="J92" s="304"/>
      <c r="K92" s="61"/>
      <c r="L92" s="299">
        <f>SUM(L87:L91)</f>
        <v>-176342883.51728988</v>
      </c>
      <c r="M92" s="279"/>
      <c r="N92" s="279"/>
    </row>
    <row r="93" spans="2:15">
      <c r="B93" s="64"/>
      <c r="C93" s="65"/>
      <c r="D93" s="317"/>
      <c r="E93" s="61"/>
      <c r="F93" s="61"/>
      <c r="G93" s="299"/>
      <c r="H93" s="279"/>
      <c r="I93" s="290"/>
      <c r="J93" s="340"/>
      <c r="K93" s="61"/>
      <c r="L93" s="299"/>
      <c r="M93" s="279"/>
      <c r="N93" s="279"/>
    </row>
    <row r="94" spans="2:15">
      <c r="B94" s="64">
        <f>+B92+1</f>
        <v>49</v>
      </c>
      <c r="C94" s="65"/>
      <c r="D94" s="317" t="s">
        <v>342</v>
      </c>
      <c r="E94" s="61" t="str">
        <f>"(Worksheet A-1 ln "&amp;'OKT WS A-1 - Plant'!A53&amp;".F)"</f>
        <v>(Worksheet A-1 ln 30.F)</v>
      </c>
      <c r="F94" s="61"/>
      <c r="G94" s="299">
        <f>+'OKT WS A-1 - Plant'!I53</f>
        <v>0</v>
      </c>
      <c r="H94" s="279"/>
      <c r="I94" s="290" t="s">
        <v>268</v>
      </c>
      <c r="J94" s="291"/>
      <c r="K94" s="61"/>
      <c r="L94" s="299">
        <f>+G94</f>
        <v>0</v>
      </c>
      <c r="M94" s="279"/>
      <c r="N94" s="279"/>
    </row>
    <row r="95" spans="2:15">
      <c r="B95" s="64"/>
      <c r="C95" s="65"/>
      <c r="D95" s="317"/>
      <c r="E95" s="61"/>
      <c r="F95" s="61"/>
      <c r="G95" s="299"/>
      <c r="H95" s="279"/>
      <c r="I95" s="290"/>
      <c r="J95" s="291"/>
      <c r="K95" s="61"/>
      <c r="L95" s="299"/>
      <c r="M95" s="279"/>
      <c r="N95" s="279"/>
    </row>
    <row r="96" spans="2:15">
      <c r="B96" s="64">
        <f>+B94+1</f>
        <v>50</v>
      </c>
      <c r="C96" s="65"/>
      <c r="D96" s="317" t="s">
        <v>610</v>
      </c>
      <c r="E96" s="61" t="str">
        <f>"(Worksheet S ln "&amp;'OKT WS S Reg Assets'!B45&amp;" cols. G and J) (Note W)"</f>
        <v>(Worksheet S ln 10 cols. G and J) (Note W)</v>
      </c>
      <c r="F96" s="61"/>
      <c r="G96" s="299">
        <f>+'OKT WS S Reg Assets'!K45</f>
        <v>0</v>
      </c>
      <c r="H96" s="279"/>
      <c r="I96" s="290" t="s">
        <v>268</v>
      </c>
      <c r="J96" s="291"/>
      <c r="K96" s="61"/>
      <c r="L96" s="299">
        <f>+'OKT WS S Reg Assets'!N45</f>
        <v>0</v>
      </c>
      <c r="M96" s="279"/>
      <c r="N96" s="279"/>
    </row>
    <row r="97" spans="2:14">
      <c r="B97" s="64"/>
      <c r="C97" s="65"/>
      <c r="D97" s="317"/>
      <c r="E97" s="61"/>
      <c r="F97" s="61"/>
      <c r="G97" s="299"/>
      <c r="H97" s="279"/>
      <c r="I97" s="290"/>
      <c r="J97" s="291"/>
      <c r="K97" s="61"/>
      <c r="L97" s="299"/>
      <c r="M97" s="279"/>
      <c r="N97" s="279"/>
    </row>
    <row r="98" spans="2:14">
      <c r="B98" s="310">
        <f>+B96+1</f>
        <v>51</v>
      </c>
      <c r="C98" s="319"/>
      <c r="D98" s="317" t="s">
        <v>838</v>
      </c>
      <c r="E98" s="61" t="str">
        <f>"(Worksheet R, ln "&amp;'OKT WS R Unfunded Reserves'!A16&amp;" F)"</f>
        <v>(Worksheet R, ln 6 F)</v>
      </c>
      <c r="F98" s="318"/>
      <c r="G98" s="299">
        <f>-'OKT WS R Unfunded Reserves'!H16</f>
        <v>0</v>
      </c>
      <c r="H98" s="279"/>
      <c r="I98" s="290" t="s">
        <v>271</v>
      </c>
      <c r="J98" s="291">
        <f>+$L$221</f>
        <v>0.93070312372319608</v>
      </c>
      <c r="K98" s="61"/>
      <c r="L98" s="299">
        <f>+J98*G98</f>
        <v>0</v>
      </c>
      <c r="M98" s="279"/>
      <c r="N98" s="279"/>
    </row>
    <row r="99" spans="2:14">
      <c r="B99" s="64"/>
      <c r="C99" s="65"/>
      <c r="D99" s="317"/>
      <c r="E99" s="61"/>
      <c r="F99" s="61"/>
      <c r="G99" s="299"/>
      <c r="H99" s="279"/>
      <c r="I99" s="290"/>
      <c r="J99" s="291"/>
      <c r="K99" s="61"/>
      <c r="L99" s="299"/>
      <c r="M99" s="279"/>
      <c r="N99" s="279"/>
    </row>
    <row r="100" spans="2:14">
      <c r="B100" s="64">
        <f>+B98+1</f>
        <v>52</v>
      </c>
      <c r="C100" s="65"/>
      <c r="D100" s="317" t="s">
        <v>237</v>
      </c>
      <c r="E100" s="61" t="s">
        <v>142</v>
      </c>
      <c r="F100" s="61"/>
      <c r="G100" s="299"/>
      <c r="H100" s="279"/>
      <c r="I100" s="290"/>
      <c r="J100" s="61"/>
      <c r="K100" s="61"/>
      <c r="L100" s="299"/>
      <c r="M100" s="279"/>
      <c r="N100" s="279"/>
    </row>
    <row r="101" spans="2:14">
      <c r="B101" s="310">
        <f t="shared" ref="B101:B109" si="5">+B100+1</f>
        <v>53</v>
      </c>
      <c r="C101" s="319"/>
      <c r="D101" s="317" t="s">
        <v>341</v>
      </c>
      <c r="E101" s="53" t="str">
        <f>"(1/8 * (ln "&amp;B134&amp;" - Ln "&amp;B133&amp;")) (Note G)"</f>
        <v>(1/8 * (ln 70 - Ln 69)) (Note G)</v>
      </c>
      <c r="G101" s="299">
        <f>(+G134-G133)/8</f>
        <v>1295104.0662500001</v>
      </c>
      <c r="H101" s="61"/>
      <c r="I101" s="290"/>
      <c r="J101" s="340"/>
      <c r="K101" s="61"/>
      <c r="L101" s="299">
        <f>+L134/8</f>
        <v>1205357.4000054882</v>
      </c>
      <c r="M101" s="279"/>
      <c r="N101" s="279"/>
    </row>
    <row r="102" spans="2:14">
      <c r="B102" s="310">
        <f t="shared" si="5"/>
        <v>54</v>
      </c>
      <c r="C102" s="319"/>
      <c r="D102" s="317" t="s">
        <v>402</v>
      </c>
      <c r="E102" s="61" t="str">
        <f>"(Worksheet D, pg 1 ln "&amp;'OKT WS D Working Capital'!A16&amp;" E)"</f>
        <v>(Worksheet D, pg 1 ln 1 E)</v>
      </c>
      <c r="F102" s="318"/>
      <c r="G102" s="299">
        <f>+'OKT WS D Working Capital'!G16</f>
        <v>0</v>
      </c>
      <c r="H102" s="279"/>
      <c r="I102" s="290" t="s">
        <v>259</v>
      </c>
      <c r="J102" s="291">
        <f>+$L$211</f>
        <v>0.93070312372319608</v>
      </c>
      <c r="K102" s="61"/>
      <c r="L102" s="299">
        <f>+J102*G102</f>
        <v>0</v>
      </c>
      <c r="M102" s="279"/>
      <c r="N102" s="279"/>
    </row>
    <row r="103" spans="2:14">
      <c r="B103" s="310">
        <f t="shared" si="5"/>
        <v>55</v>
      </c>
      <c r="C103" s="319"/>
      <c r="D103" s="317" t="s">
        <v>403</v>
      </c>
      <c r="E103" s="61" t="str">
        <f>"(Worksheet D, pg 1 ln "&amp;'OKT WS D Working Capital'!A17&amp;" E)"</f>
        <v>(Worksheet D, pg 1 ln 2 E)</v>
      </c>
      <c r="F103" s="318"/>
      <c r="G103" s="299">
        <f>+'OKT WS D Working Capital'!G17</f>
        <v>0</v>
      </c>
      <c r="H103" s="279"/>
      <c r="I103" s="290" t="s">
        <v>271</v>
      </c>
      <c r="J103" s="291">
        <f>+$L$221</f>
        <v>0.93070312372319608</v>
      </c>
      <c r="K103" s="61"/>
      <c r="L103" s="299">
        <f>+J103*G103</f>
        <v>0</v>
      </c>
      <c r="M103" s="279"/>
      <c r="N103" s="279"/>
    </row>
    <row r="104" spans="2:14">
      <c r="B104" s="310">
        <f t="shared" si="5"/>
        <v>56</v>
      </c>
      <c r="C104" s="319"/>
      <c r="D104" s="317" t="s">
        <v>196</v>
      </c>
      <c r="E104" s="61" t="str">
        <f>"(Worksheet D, pg 1 ln "&amp;'OKT WS D Working Capital'!A18&amp;" E)"</f>
        <v>(Worksheet D, pg 1 ln 3 E)</v>
      </c>
      <c r="F104" s="318"/>
      <c r="G104" s="299">
        <f>+'OKT WS D Working Capital'!G18</f>
        <v>0</v>
      </c>
      <c r="H104" s="279"/>
      <c r="I104" s="308" t="s">
        <v>606</v>
      </c>
      <c r="J104" s="291">
        <f>+$J$63</f>
        <v>0.93070312372319608</v>
      </c>
      <c r="K104" s="61"/>
      <c r="L104" s="299">
        <f>+J104*G104</f>
        <v>0</v>
      </c>
      <c r="M104" s="279"/>
      <c r="N104" s="279"/>
    </row>
    <row r="105" spans="2:14">
      <c r="B105" s="310">
        <f t="shared" si="5"/>
        <v>57</v>
      </c>
      <c r="C105" s="319"/>
      <c r="D105" s="317" t="s">
        <v>346</v>
      </c>
      <c r="E105" s="61" t="str">
        <f>"(Worksheet D, pg 1 ln "&amp;'OKT WS D Working Capital'!A51&amp;" G)"</f>
        <v>(Worksheet D, pg 1 ln 29 G)</v>
      </c>
      <c r="F105" s="318"/>
      <c r="G105" s="299">
        <f>+'OKT WS D Working Capital'!J51</f>
        <v>0</v>
      </c>
      <c r="H105" s="279"/>
      <c r="I105" s="290" t="s">
        <v>271</v>
      </c>
      <c r="J105" s="291">
        <f>+$L$221</f>
        <v>0.93070312372319608</v>
      </c>
      <c r="K105" s="61"/>
      <c r="L105" s="299">
        <f>+J105*G105</f>
        <v>0</v>
      </c>
      <c r="M105" s="279"/>
      <c r="N105" s="279"/>
    </row>
    <row r="106" spans="2:14">
      <c r="B106" s="310">
        <f t="shared" si="5"/>
        <v>58</v>
      </c>
      <c r="C106" s="319"/>
      <c r="D106" s="317" t="s">
        <v>347</v>
      </c>
      <c r="E106" s="61" t="str">
        <f>"(Worksheet D, pg 1 ln "&amp;'OKT WS D Working Capital'!A51&amp;" F)"</f>
        <v>(Worksheet D, pg 1 ln 29 F)</v>
      </c>
      <c r="F106" s="318"/>
      <c r="G106" s="299">
        <f>+'OKT WS D Working Capital'!I51</f>
        <v>63608.198461538464</v>
      </c>
      <c r="H106" s="279"/>
      <c r="I106" s="308" t="s">
        <v>606</v>
      </c>
      <c r="J106" s="291">
        <f>+$J$63</f>
        <v>0.93070312372319608</v>
      </c>
      <c r="K106" s="61"/>
      <c r="L106" s="299">
        <f>+G106*J106</f>
        <v>59200.349002558847</v>
      </c>
      <c r="M106" s="279"/>
      <c r="N106" s="279"/>
    </row>
    <row r="107" spans="2:14">
      <c r="B107" s="310">
        <f t="shared" si="5"/>
        <v>59</v>
      </c>
      <c r="C107" s="319"/>
      <c r="D107" s="317" t="s">
        <v>388</v>
      </c>
      <c r="E107" s="61" t="str">
        <f>"(Worksheet D, pg 1 ln "&amp;'OKT WS D Working Capital'!A51&amp;" E)"</f>
        <v>(Worksheet D, pg 1 ln 29 E)</v>
      </c>
      <c r="F107" s="318"/>
      <c r="G107" s="299">
        <f>+'OKT WS D Working Capital'!G51</f>
        <v>55675.18461538462</v>
      </c>
      <c r="H107" s="279"/>
      <c r="I107" s="290" t="s">
        <v>268</v>
      </c>
      <c r="J107" s="291">
        <v>1</v>
      </c>
      <c r="K107" s="61"/>
      <c r="L107" s="299">
        <f>+G107</f>
        <v>55675.18461538462</v>
      </c>
      <c r="M107" s="279"/>
      <c r="N107" s="279"/>
    </row>
    <row r="108" spans="2:14" ht="16" thickBot="1">
      <c r="B108" s="310">
        <f t="shared" si="5"/>
        <v>60</v>
      </c>
      <c r="C108" s="319"/>
      <c r="D108" s="317" t="s">
        <v>244</v>
      </c>
      <c r="E108" s="61" t="str">
        <f>"(Worksheet D, pg 1 ln "&amp;'OKT WS D Working Capital'!A51&amp;" D)"</f>
        <v>(Worksheet D, pg 1 ln 29 D)</v>
      </c>
      <c r="F108" s="318"/>
      <c r="G108" s="325">
        <f>+'OKT WS D Working Capital'!E51</f>
        <v>0</v>
      </c>
      <c r="H108" s="299"/>
      <c r="I108" s="290" t="s">
        <v>266</v>
      </c>
      <c r="J108" s="291">
        <v>0</v>
      </c>
      <c r="K108" s="61"/>
      <c r="L108" s="325">
        <f>+G108*J108</f>
        <v>0</v>
      </c>
      <c r="M108" s="279"/>
      <c r="N108" s="279"/>
    </row>
    <row r="109" spans="2:14">
      <c r="B109" s="310">
        <f t="shared" si="5"/>
        <v>61</v>
      </c>
      <c r="C109" s="319"/>
      <c r="D109" s="317" t="s">
        <v>221</v>
      </c>
      <c r="E109" s="317" t="str">
        <f>"(sum lns "&amp;B101&amp;" to "&amp;B108&amp;")"</f>
        <v>(sum lns 53 to 60)</v>
      </c>
      <c r="F109" s="60"/>
      <c r="G109" s="299">
        <f>SUM(G101:G108)</f>
        <v>1414387.4493269231</v>
      </c>
      <c r="H109" s="60"/>
      <c r="I109" s="65"/>
      <c r="J109" s="60"/>
      <c r="K109" s="60"/>
      <c r="L109" s="299">
        <f>SUM(L101:L108)</f>
        <v>1320232.9336234315</v>
      </c>
      <c r="M109" s="279"/>
      <c r="N109" s="279"/>
    </row>
    <row r="110" spans="2:14">
      <c r="B110" s="64"/>
      <c r="C110" s="65"/>
      <c r="D110" s="317"/>
      <c r="E110" s="60"/>
      <c r="F110" s="60"/>
      <c r="G110" s="299"/>
      <c r="H110" s="60"/>
      <c r="I110" s="65"/>
      <c r="J110" s="60"/>
      <c r="K110" s="60"/>
      <c r="L110" s="299"/>
      <c r="M110" s="279"/>
      <c r="N110" s="279"/>
    </row>
    <row r="111" spans="2:14">
      <c r="B111" s="64">
        <f>+B109+1</f>
        <v>62</v>
      </c>
      <c r="C111" s="65"/>
      <c r="D111" s="317" t="s">
        <v>210</v>
      </c>
      <c r="E111" s="57" t="str">
        <f>"(Note H) (Worksheet E, ln "&amp;'OKT WS E IPP Credits'!A22&amp;" B)"</f>
        <v>(Note H) (Worksheet E, ln 8 B)</v>
      </c>
      <c r="F111" s="60"/>
      <c r="G111" s="299">
        <f>IF(G63=0,0,-'OKT WS E IPP Credits'!C22)</f>
        <v>0</v>
      </c>
      <c r="H111" s="60"/>
      <c r="I111" s="343" t="s">
        <v>268</v>
      </c>
      <c r="J111" s="291">
        <v>1</v>
      </c>
      <c r="K111" s="61"/>
      <c r="L111" s="299">
        <f>+J111*G111</f>
        <v>0</v>
      </c>
      <c r="M111" s="279"/>
      <c r="N111" s="279"/>
    </row>
    <row r="112" spans="2:14" ht="16" thickBot="1">
      <c r="D112" s="82"/>
      <c r="E112" s="61"/>
      <c r="F112" s="61"/>
      <c r="G112" s="325"/>
      <c r="H112" s="61"/>
      <c r="I112" s="290"/>
      <c r="J112" s="61"/>
      <c r="K112" s="61"/>
      <c r="L112" s="325"/>
      <c r="M112" s="279"/>
      <c r="N112" s="279"/>
    </row>
    <row r="113" spans="2:15" ht="16" thickBot="1">
      <c r="B113" s="64">
        <f>+B111+1</f>
        <v>63</v>
      </c>
      <c r="C113" s="65"/>
      <c r="D113" s="57" t="str">
        <f>"RATE BASE  (sum lns "&amp;B83&amp;", "&amp;B92&amp;", "&amp;B94&amp;", "&amp;B96&amp;", "&amp;B98&amp;", "&amp;B109&amp;", "&amp;B111&amp;")"</f>
        <v>RATE BASE  (sum lns 41, 48, 49, 50, 51, 61, 62)</v>
      </c>
      <c r="E113" s="61"/>
      <c r="F113" s="61"/>
      <c r="G113" s="344">
        <f>+G83+G92+G94+G96+G98+G109+G111</f>
        <v>761161687.16817296</v>
      </c>
      <c r="H113" s="61"/>
      <c r="I113" s="61"/>
      <c r="J113" s="340"/>
      <c r="K113" s="61"/>
      <c r="L113" s="344">
        <f>+L83+L92+L94+L96+L98+L109+L111</f>
        <v>695216659.71242821</v>
      </c>
      <c r="M113" s="279"/>
      <c r="N113" s="279"/>
    </row>
    <row r="114" spans="2:15" ht="16" thickTop="1">
      <c r="B114" s="64"/>
      <c r="C114" s="279"/>
      <c r="D114" s="279"/>
      <c r="E114" s="279"/>
      <c r="F114" s="279"/>
      <c r="G114" s="279"/>
      <c r="H114" s="279"/>
      <c r="I114" s="275"/>
      <c r="J114" s="275"/>
      <c r="K114" s="275"/>
      <c r="M114" s="279"/>
      <c r="N114" s="279"/>
    </row>
    <row r="115" spans="2:15">
      <c r="B115" s="64"/>
      <c r="C115" s="65"/>
      <c r="D115" s="57"/>
      <c r="E115" s="61"/>
      <c r="F115" s="61"/>
      <c r="G115" s="61"/>
      <c r="H115" s="61"/>
      <c r="I115" s="61"/>
      <c r="J115" s="61"/>
      <c r="K115" s="61"/>
      <c r="L115" s="61"/>
      <c r="M115" s="279"/>
      <c r="N115" s="279"/>
    </row>
    <row r="116" spans="2:15">
      <c r="B116" s="64"/>
      <c r="C116" s="65"/>
      <c r="D116" s="57"/>
      <c r="E116" s="61"/>
      <c r="F116" s="290" t="str">
        <f>F42</f>
        <v xml:space="preserve">AEP West SPP Member Transmission Companies </v>
      </c>
      <c r="G116" s="290"/>
      <c r="H116" s="61"/>
      <c r="I116" s="61"/>
      <c r="J116" s="61"/>
      <c r="K116" s="61"/>
      <c r="L116" s="61"/>
      <c r="M116" s="279"/>
      <c r="N116" s="279"/>
    </row>
    <row r="117" spans="2:15">
      <c r="B117" s="64"/>
      <c r="C117" s="65"/>
      <c r="D117" s="57"/>
      <c r="E117" s="61"/>
      <c r="F117" s="290" t="str">
        <f>F43</f>
        <v>Transmission Cost of Service Formula Rate</v>
      </c>
      <c r="G117" s="290"/>
      <c r="H117" s="61"/>
      <c r="I117" s="61"/>
      <c r="J117" s="61"/>
      <c r="K117" s="61"/>
      <c r="L117" s="61"/>
      <c r="M117" s="279"/>
      <c r="N117" s="279"/>
    </row>
    <row r="118" spans="2:15">
      <c r="B118" s="64"/>
      <c r="C118" s="65"/>
      <c r="E118" s="61"/>
      <c r="F118" s="290" t="str">
        <f>F44</f>
        <v>Utilizing Actual / Projected Cost Data for the 2019 Rate Year</v>
      </c>
      <c r="G118" s="61"/>
      <c r="H118" s="61"/>
      <c r="I118" s="61"/>
      <c r="J118" s="61"/>
      <c r="K118" s="61"/>
      <c r="L118" s="61"/>
      <c r="M118" s="279"/>
      <c r="N118" s="279"/>
    </row>
    <row r="119" spans="2:15">
      <c r="B119" s="64"/>
      <c r="C119" s="65"/>
      <c r="E119" s="61"/>
      <c r="F119" s="290"/>
      <c r="G119" s="61"/>
      <c r="H119" s="61"/>
      <c r="I119" s="61"/>
      <c r="J119" s="61"/>
      <c r="K119" s="61"/>
      <c r="L119" s="61"/>
      <c r="M119" s="279"/>
      <c r="N119" s="279"/>
    </row>
    <row r="120" spans="2:15">
      <c r="B120" s="64"/>
      <c r="C120" s="65"/>
      <c r="E120" s="100"/>
      <c r="F120" s="290" t="str">
        <f>F46</f>
        <v>AEP OKLAHOMA TRANSMISSION COMPANY, INC.</v>
      </c>
      <c r="G120" s="100"/>
      <c r="H120" s="100"/>
      <c r="I120" s="100"/>
      <c r="J120" s="100"/>
      <c r="K120" s="100"/>
      <c r="M120" s="279"/>
      <c r="N120" s="279"/>
    </row>
    <row r="121" spans="2:15">
      <c r="B121" s="64"/>
      <c r="C121" s="65"/>
      <c r="E121" s="100"/>
      <c r="F121" s="290"/>
      <c r="G121" s="100"/>
      <c r="H121" s="100"/>
      <c r="I121" s="100"/>
      <c r="J121" s="100"/>
      <c r="K121" s="100"/>
      <c r="M121" s="279"/>
      <c r="N121" s="279"/>
    </row>
    <row r="122" spans="2:15">
      <c r="D122" s="65" t="s">
        <v>260</v>
      </c>
      <c r="E122" s="65" t="s">
        <v>261</v>
      </c>
      <c r="F122" s="65"/>
      <c r="G122" s="65" t="s">
        <v>262</v>
      </c>
      <c r="H122" s="61"/>
      <c r="I122" s="1979" t="s">
        <v>263</v>
      </c>
      <c r="J122" s="1980"/>
      <c r="K122" s="61"/>
      <c r="L122" s="66" t="s">
        <v>264</v>
      </c>
      <c r="M122" s="279"/>
      <c r="N122" s="279"/>
    </row>
    <row r="123" spans="2:15">
      <c r="B123" s="53"/>
      <c r="D123" s="65"/>
      <c r="E123" s="65"/>
      <c r="F123" s="65"/>
      <c r="G123" s="65"/>
      <c r="H123" s="61"/>
      <c r="I123" s="61"/>
      <c r="J123" s="309"/>
      <c r="K123" s="61"/>
      <c r="M123" s="279"/>
      <c r="N123" s="279"/>
      <c r="O123" s="275"/>
    </row>
    <row r="124" spans="2:15">
      <c r="B124" s="310"/>
      <c r="C124" s="65"/>
      <c r="D124" s="71" t="s">
        <v>240</v>
      </c>
      <c r="E124" s="311" t="str">
        <f>E50</f>
        <v>Data Sources</v>
      </c>
      <c r="F124" s="70"/>
      <c r="G124" s="61"/>
      <c r="H124" s="61"/>
      <c r="I124" s="61"/>
      <c r="J124" s="65"/>
      <c r="K124" s="61"/>
      <c r="L124" s="311" t="str">
        <f>L50</f>
        <v>Total</v>
      </c>
      <c r="M124" s="279"/>
      <c r="N124" s="279"/>
      <c r="O124" s="275"/>
    </row>
    <row r="125" spans="2:15">
      <c r="B125" s="53"/>
      <c r="C125" s="74"/>
      <c r="D125" s="312" t="s">
        <v>241</v>
      </c>
      <c r="E125" s="345" t="str">
        <f>E51</f>
        <v>(See "General Notes")</v>
      </c>
      <c r="F125" s="61"/>
      <c r="G125" s="345" t="str">
        <f>G51</f>
        <v>TO Total</v>
      </c>
      <c r="H125" s="314"/>
      <c r="I125" s="1977" t="str">
        <f>I51</f>
        <v>Allocator</v>
      </c>
      <c r="J125" s="1978"/>
      <c r="K125" s="314"/>
      <c r="L125" s="345" t="str">
        <f>L51</f>
        <v>Transmission</v>
      </c>
      <c r="M125" s="279"/>
      <c r="N125" s="279"/>
      <c r="O125" s="275"/>
    </row>
    <row r="126" spans="2:15">
      <c r="B126" s="346" t="str">
        <f>B52</f>
        <v>Line</v>
      </c>
      <c r="D126" s="57"/>
      <c r="E126" s="61"/>
      <c r="F126" s="61"/>
      <c r="G126" s="312"/>
      <c r="H126" s="347"/>
      <c r="I126" s="71"/>
      <c r="K126" s="347"/>
      <c r="L126" s="312"/>
      <c r="M126" s="279"/>
      <c r="N126" s="279"/>
    </row>
    <row r="127" spans="2:15" ht="16" thickBot="1">
      <c r="B127" s="73" t="str">
        <f>B53</f>
        <v>No.</v>
      </c>
      <c r="C127" s="65"/>
      <c r="D127" s="57" t="s">
        <v>242</v>
      </c>
      <c r="E127" s="61"/>
      <c r="F127" s="61"/>
      <c r="G127" s="61"/>
      <c r="H127" s="61"/>
      <c r="I127" s="290"/>
      <c r="J127" s="61"/>
      <c r="K127" s="61"/>
      <c r="L127" s="61"/>
      <c r="M127" s="279"/>
      <c r="N127" s="279"/>
    </row>
    <row r="128" spans="2:15">
      <c r="B128" s="75">
        <f>+B113+1</f>
        <v>64</v>
      </c>
      <c r="C128" s="65"/>
      <c r="D128" s="57" t="s">
        <v>274</v>
      </c>
      <c r="E128" s="61" t="s">
        <v>53</v>
      </c>
      <c r="F128" s="61"/>
      <c r="G128" s="348">
        <v>11014214.040000001</v>
      </c>
      <c r="H128" s="299"/>
      <c r="I128" s="279"/>
      <c r="J128" s="279"/>
      <c r="K128" s="279"/>
      <c r="L128" s="279"/>
      <c r="M128" s="279"/>
      <c r="N128" s="279"/>
      <c r="O128" s="61"/>
    </row>
    <row r="129" spans="1:15">
      <c r="A129" s="279"/>
      <c r="B129" s="75">
        <f>+B128+1</f>
        <v>65</v>
      </c>
      <c r="C129" s="65"/>
      <c r="D129" s="57" t="s">
        <v>398</v>
      </c>
      <c r="E129" s="61" t="s">
        <v>182</v>
      </c>
      <c r="F129" s="61"/>
      <c r="G129" s="348">
        <v>653381.51</v>
      </c>
      <c r="H129" s="299"/>
      <c r="I129" s="279"/>
      <c r="J129" s="279"/>
      <c r="K129" s="279"/>
      <c r="L129" s="279"/>
      <c r="M129" s="279"/>
      <c r="N129" s="279"/>
      <c r="O129" s="61"/>
    </row>
    <row r="130" spans="1:15">
      <c r="A130" s="279"/>
      <c r="B130" s="75">
        <f t="shared" ref="B130:B134" si="6">+B129+1</f>
        <v>66</v>
      </c>
      <c r="C130" s="65"/>
      <c r="D130" s="57" t="s">
        <v>205</v>
      </c>
      <c r="E130" s="61" t="s">
        <v>183</v>
      </c>
      <c r="F130" s="61"/>
      <c r="G130" s="348">
        <v>0</v>
      </c>
      <c r="H130" s="299"/>
      <c r="I130" s="279"/>
      <c r="J130" s="279"/>
      <c r="K130" s="279"/>
      <c r="L130" s="279"/>
      <c r="M130" s="279"/>
      <c r="N130" s="279"/>
      <c r="O130" s="61"/>
    </row>
    <row r="131" spans="1:15">
      <c r="A131" s="279"/>
      <c r="B131" s="75">
        <f t="shared" si="6"/>
        <v>67</v>
      </c>
      <c r="C131" s="65"/>
      <c r="D131" s="57" t="s">
        <v>748</v>
      </c>
      <c r="E131" s="61" t="str">
        <f>"Worksheet S ln "&amp;'OKT WS S Reg Assets'!B16&amp;" (Note V)"</f>
        <v>Worksheet S ln 2 (Note V)</v>
      </c>
      <c r="F131" s="61"/>
      <c r="G131" s="349">
        <f>+'OKT WS S Reg Assets'!I16</f>
        <v>0</v>
      </c>
      <c r="H131" s="299"/>
      <c r="I131" s="279"/>
      <c r="J131" s="279"/>
      <c r="K131" s="279"/>
      <c r="L131" s="279"/>
      <c r="M131" s="279"/>
      <c r="N131" s="279"/>
      <c r="O131" s="61"/>
    </row>
    <row r="132" spans="1:15">
      <c r="A132" s="279"/>
      <c r="B132" s="75">
        <f t="shared" si="6"/>
        <v>68</v>
      </c>
      <c r="C132" s="65"/>
      <c r="D132" s="57" t="s">
        <v>620</v>
      </c>
      <c r="E132" s="61" t="str">
        <f>"Worksheet I ln "&amp;'OKT WS I Exp Adj'!B21&amp;""</f>
        <v>Worksheet I ln 10</v>
      </c>
      <c r="F132" s="61"/>
      <c r="G132" s="350">
        <f>+'OKT WS I Exp Adj'!G21</f>
        <v>0</v>
      </c>
      <c r="H132" s="299"/>
      <c r="I132" s="279"/>
      <c r="J132" s="279"/>
      <c r="K132" s="279"/>
      <c r="L132" s="279"/>
      <c r="M132" s="279"/>
      <c r="N132" s="279"/>
      <c r="O132" s="61"/>
    </row>
    <row r="133" spans="1:15" ht="16" thickBot="1">
      <c r="A133" s="279"/>
      <c r="B133" s="75">
        <f t="shared" si="6"/>
        <v>69</v>
      </c>
      <c r="C133" s="65"/>
      <c r="D133" s="57" t="s">
        <v>749</v>
      </c>
      <c r="E133" s="61" t="str">
        <f>"Worksheet S ln "&amp;'OKT WS S Reg Assets'!B23&amp;" (Note V)"</f>
        <v>Worksheet S ln 4 (Note V)</v>
      </c>
      <c r="F133" s="61"/>
      <c r="G133" s="289">
        <f>+'OKT WS S Reg Assets'!I23</f>
        <v>0</v>
      </c>
      <c r="H133" s="299"/>
      <c r="I133" s="279"/>
      <c r="J133" s="279"/>
      <c r="K133" s="279"/>
      <c r="L133" s="279"/>
      <c r="M133" s="279"/>
      <c r="N133" s="279"/>
      <c r="O133" s="61"/>
    </row>
    <row r="134" spans="1:15">
      <c r="A134" s="279"/>
      <c r="B134" s="75">
        <f t="shared" si="6"/>
        <v>70</v>
      </c>
      <c r="C134" s="65"/>
      <c r="D134" s="57" t="s">
        <v>49</v>
      </c>
      <c r="E134" s="61" t="str">
        <f>"(lns "&amp;B128&amp;" - "&amp;B129&amp;" - "&amp;B130&amp;" - "&amp;B131&amp;" + "&amp;B132&amp;" + "&amp;B133&amp;")"</f>
        <v>(lns 64 - 65 - 66 - 67 + 68 + 69)</v>
      </c>
      <c r="F134" s="57"/>
      <c r="G134" s="351">
        <f>+G128-G129-G130-G131+G132+G133</f>
        <v>10360832.530000001</v>
      </c>
      <c r="H134" s="61"/>
      <c r="I134" s="290" t="s">
        <v>259</v>
      </c>
      <c r="J134" s="291">
        <f>+$L$211</f>
        <v>0.93070312372319608</v>
      </c>
      <c r="K134" s="61"/>
      <c r="L134" s="299">
        <f>+J134*G134</f>
        <v>9642859.2000439055</v>
      </c>
      <c r="M134" s="279"/>
      <c r="N134" s="279"/>
      <c r="O134" s="61"/>
    </row>
    <row r="135" spans="1:15">
      <c r="A135" s="279"/>
      <c r="B135" s="64"/>
      <c r="C135" s="65"/>
      <c r="D135" s="57"/>
      <c r="E135" s="61"/>
      <c r="F135" s="61"/>
      <c r="G135" s="272"/>
      <c r="H135" s="299"/>
      <c r="I135" s="279"/>
      <c r="J135" s="279"/>
      <c r="K135" s="279"/>
      <c r="L135" s="279"/>
      <c r="M135" s="279"/>
      <c r="N135" s="279"/>
      <c r="O135" s="61"/>
    </row>
    <row r="136" spans="1:15">
      <c r="A136" s="279"/>
      <c r="B136" s="64">
        <f>+B134+1</f>
        <v>71</v>
      </c>
      <c r="C136" s="65"/>
      <c r="D136" s="57" t="s">
        <v>243</v>
      </c>
      <c r="E136" s="61" t="s">
        <v>415</v>
      </c>
      <c r="F136" s="61"/>
      <c r="G136" s="348">
        <v>3460885.1289999997</v>
      </c>
      <c r="H136" s="299"/>
      <c r="I136" s="336"/>
      <c r="J136" s="336"/>
      <c r="K136" s="61"/>
      <c r="L136" s="299"/>
      <c r="M136" s="279"/>
      <c r="N136" s="279"/>
      <c r="O136" s="61"/>
    </row>
    <row r="137" spans="1:15">
      <c r="A137" s="279"/>
      <c r="B137" s="64">
        <f t="shared" ref="B137:B144" si="7">+B136+1</f>
        <v>72</v>
      </c>
      <c r="C137" s="65"/>
      <c r="D137" s="57" t="s">
        <v>400</v>
      </c>
      <c r="E137" s="61" t="s">
        <v>54</v>
      </c>
      <c r="F137" s="61"/>
      <c r="G137" s="348">
        <v>87600.51</v>
      </c>
      <c r="H137" s="299"/>
      <c r="I137" s="336"/>
      <c r="J137" s="57"/>
      <c r="K137" s="61"/>
      <c r="L137" s="299"/>
      <c r="M137" s="279"/>
      <c r="N137" s="279"/>
      <c r="O137" s="61"/>
    </row>
    <row r="138" spans="1:15">
      <c r="B138" s="64">
        <f t="shared" si="7"/>
        <v>73</v>
      </c>
      <c r="C138" s="65"/>
      <c r="D138" s="57" t="s">
        <v>399</v>
      </c>
      <c r="E138" s="61" t="s">
        <v>184</v>
      </c>
      <c r="F138" s="61"/>
      <c r="G138" s="299">
        <f>+'OKT WS J Misc Exp'!D31</f>
        <v>47785.23</v>
      </c>
      <c r="H138" s="299"/>
      <c r="I138" s="336"/>
      <c r="J138" s="352"/>
      <c r="K138" s="61"/>
      <c r="L138" s="299"/>
      <c r="M138" s="279"/>
      <c r="N138" s="279"/>
      <c r="O138" s="61"/>
    </row>
    <row r="139" spans="1:15">
      <c r="B139" s="64">
        <f t="shared" si="7"/>
        <v>74</v>
      </c>
      <c r="C139" s="65"/>
      <c r="D139" s="57" t="s">
        <v>246</v>
      </c>
      <c r="E139" s="61" t="s">
        <v>185</v>
      </c>
      <c r="F139" s="61"/>
      <c r="G139" s="299">
        <f>+'OKT WS J Misc Exp'!D41</f>
        <v>718.81</v>
      </c>
      <c r="H139" s="299"/>
      <c r="I139" s="336"/>
      <c r="J139" s="336"/>
      <c r="K139" s="61"/>
      <c r="L139" s="299"/>
      <c r="M139" s="279"/>
      <c r="N139" s="279"/>
      <c r="O139" s="61"/>
    </row>
    <row r="140" spans="1:15">
      <c r="B140" s="64">
        <f t="shared" si="7"/>
        <v>75</v>
      </c>
      <c r="C140" s="65"/>
      <c r="D140" s="57" t="s">
        <v>401</v>
      </c>
      <c r="E140" s="61" t="s">
        <v>186</v>
      </c>
      <c r="F140" s="61"/>
      <c r="G140" s="299">
        <f>+'OKT WS J Misc Exp'!D50</f>
        <v>76355.225999999995</v>
      </c>
      <c r="H140" s="299"/>
      <c r="I140" s="336"/>
      <c r="J140" s="336"/>
      <c r="K140" s="61"/>
      <c r="L140" s="299"/>
      <c r="M140" s="279"/>
      <c r="N140" s="279"/>
      <c r="O140" s="61"/>
    </row>
    <row r="141" spans="1:15" ht="16" thickBot="1">
      <c r="B141" s="64">
        <f>+B140+1</f>
        <v>76</v>
      </c>
      <c r="C141" s="65"/>
      <c r="D141" s="57" t="s">
        <v>771</v>
      </c>
      <c r="E141" s="61" t="str">
        <f>"Worksheet S ln "&amp;'OKT WS S Reg Assets'!B28&amp;" (Note V)"</f>
        <v>Worksheet S ln 6 (Note V)</v>
      </c>
      <c r="F141" s="61"/>
      <c r="G141" s="299">
        <f>+'OKT WS S Reg Assets'!I28</f>
        <v>0</v>
      </c>
      <c r="H141" s="299"/>
      <c r="I141" s="336"/>
      <c r="J141" s="336"/>
      <c r="K141" s="61"/>
      <c r="L141" s="299"/>
      <c r="M141" s="279"/>
      <c r="N141" s="279"/>
      <c r="O141" s="61"/>
    </row>
    <row r="142" spans="1:15">
      <c r="B142" s="64">
        <f>+B141+1</f>
        <v>77</v>
      </c>
      <c r="C142" s="65"/>
      <c r="D142" s="57" t="s">
        <v>247</v>
      </c>
      <c r="E142" s="61" t="str">
        <f>"(ln "&amp;B136&amp;" - sum ln "&amp;B137&amp;"  to ln "&amp;B141&amp;")"</f>
        <v>(ln 71 - sum ln 72  to ln 76)</v>
      </c>
      <c r="F142" s="61"/>
      <c r="G142" s="351">
        <f>G136-SUM(G137:G141)</f>
        <v>3248425.3529999997</v>
      </c>
      <c r="H142" s="299"/>
      <c r="I142" s="290" t="s">
        <v>271</v>
      </c>
      <c r="J142" s="291">
        <f>+$L$221</f>
        <v>0.93070312372319608</v>
      </c>
      <c r="K142" s="61"/>
      <c r="L142" s="299">
        <f>+J142*G142</f>
        <v>3023319.6232187254</v>
      </c>
      <c r="M142" s="279"/>
      <c r="N142" s="279"/>
      <c r="O142" s="61"/>
    </row>
    <row r="143" spans="1:15">
      <c r="B143" s="64">
        <f t="shared" si="7"/>
        <v>78</v>
      </c>
      <c r="C143" s="65"/>
      <c r="D143" s="57" t="s">
        <v>333</v>
      </c>
      <c r="E143" s="61" t="str">
        <f>"(ln "&amp;B137&amp;")"</f>
        <v>(ln 72)</v>
      </c>
      <c r="F143" s="61"/>
      <c r="G143" s="299">
        <f>+G137</f>
        <v>87600.51</v>
      </c>
      <c r="H143" s="299"/>
      <c r="I143" s="308" t="s">
        <v>606</v>
      </c>
      <c r="J143" s="291">
        <f>+$J$63</f>
        <v>0.93070312372319608</v>
      </c>
      <c r="K143" s="61"/>
      <c r="L143" s="299">
        <f>+J143*G143</f>
        <v>81530.06829674507</v>
      </c>
      <c r="M143" s="279"/>
      <c r="N143" s="279"/>
      <c r="O143" s="61"/>
    </row>
    <row r="144" spans="1:15">
      <c r="B144" s="64">
        <f t="shared" si="7"/>
        <v>79</v>
      </c>
      <c r="C144" s="65"/>
      <c r="D144" s="57" t="s">
        <v>358</v>
      </c>
      <c r="E144" s="61" t="str">
        <f>"Worksheet J ln "&amp;'OKT WS J Misc Exp'!A31&amp;".(E) (Note L)"</f>
        <v>Worksheet J ln 16.(E) (Note L)</v>
      </c>
      <c r="F144" s="61"/>
      <c r="G144" s="299">
        <f>+'OKT WS J Misc Exp'!F31</f>
        <v>47785.23</v>
      </c>
      <c r="H144" s="299"/>
      <c r="I144" s="290" t="s">
        <v>259</v>
      </c>
      <c r="J144" s="291">
        <f>+$L$211</f>
        <v>0.93070312372319608</v>
      </c>
      <c r="K144" s="61"/>
      <c r="L144" s="299">
        <f>J144*G144</f>
        <v>44473.862828831385</v>
      </c>
      <c r="M144" s="279"/>
      <c r="N144" s="279"/>
      <c r="O144" s="61"/>
    </row>
    <row r="145" spans="2:15">
      <c r="B145" s="64">
        <f>+B144+1</f>
        <v>80</v>
      </c>
      <c r="C145" s="65"/>
      <c r="D145" s="57" t="s">
        <v>360</v>
      </c>
      <c r="E145" s="61" t="str">
        <f>"Worksheet J ln "&amp;'OKT WS J Misc Exp'!A41&amp;".(E) (Note L)"</f>
        <v>Worksheet J ln 22.(E) (Note L)</v>
      </c>
      <c r="F145" s="61"/>
      <c r="G145" s="289">
        <f>'OKT WS J Misc Exp'!F41</f>
        <v>718.81</v>
      </c>
      <c r="H145" s="61"/>
      <c r="I145" s="308" t="s">
        <v>606</v>
      </c>
      <c r="J145" s="291">
        <f>+J63</f>
        <v>0.93070312372319608</v>
      </c>
      <c r="K145" s="61"/>
      <c r="L145" s="289">
        <f>+J145*G145</f>
        <v>668.99871236347053</v>
      </c>
      <c r="M145" s="279"/>
      <c r="N145" s="279"/>
      <c r="O145" s="61"/>
    </row>
    <row r="146" spans="2:15">
      <c r="B146" s="64">
        <f>+B145+1</f>
        <v>81</v>
      </c>
      <c r="C146" s="65"/>
      <c r="D146" s="57" t="s">
        <v>361</v>
      </c>
      <c r="E146" s="61" t="str">
        <f>"Worksheet J ln "&amp;'OKT WS J Misc Exp'!A50&amp;".(E) (Note L)"</f>
        <v>Worksheet J ln 28.(E) (Note L)</v>
      </c>
      <c r="F146" s="61"/>
      <c r="G146" s="289">
        <f>'OKT WS J Misc Exp'!F50</f>
        <v>76355.225999999995</v>
      </c>
      <c r="H146" s="61"/>
      <c r="I146" s="290" t="s">
        <v>268</v>
      </c>
      <c r="J146" s="291">
        <v>1</v>
      </c>
      <c r="K146" s="61"/>
      <c r="L146" s="289">
        <f>J146*G146</f>
        <v>76355.225999999995</v>
      </c>
      <c r="M146" s="279"/>
      <c r="N146" s="279"/>
      <c r="O146" s="61"/>
    </row>
    <row r="147" spans="2:15" ht="16" thickBot="1">
      <c r="B147" s="64">
        <f>+B146+1</f>
        <v>82</v>
      </c>
      <c r="C147" s="65"/>
      <c r="D147" s="57" t="s">
        <v>772</v>
      </c>
      <c r="E147" s="61" t="str">
        <f>"Worksheet S ln "&amp;'OKT WS S Reg Assets'!B33&amp;" (Note V)"</f>
        <v>Worksheet S ln 8 (Note V)</v>
      </c>
      <c r="F147" s="61"/>
      <c r="G147" s="289">
        <f>+'OKT WS S Reg Assets'!I33</f>
        <v>0</v>
      </c>
      <c r="H147" s="61"/>
      <c r="I147" s="290" t="s">
        <v>271</v>
      </c>
      <c r="J147" s="291">
        <f>+$L$221</f>
        <v>0.93070312372319608</v>
      </c>
      <c r="K147" s="61"/>
      <c r="L147" s="299">
        <f>J147*G147</f>
        <v>0</v>
      </c>
      <c r="M147" s="279"/>
      <c r="N147" s="279"/>
      <c r="O147" s="61"/>
    </row>
    <row r="148" spans="2:15">
      <c r="B148" s="64">
        <f>+B147+1</f>
        <v>83</v>
      </c>
      <c r="C148" s="65"/>
      <c r="D148" s="57" t="s">
        <v>248</v>
      </c>
      <c r="E148" s="286" t="str">
        <f>"(sum lns "&amp;B142&amp;" to "&amp;B147&amp;")"</f>
        <v>(sum lns 77 to 82)</v>
      </c>
      <c r="F148" s="61"/>
      <c r="G148" s="351">
        <f>SUM(G142:G147)</f>
        <v>3460885.1289999993</v>
      </c>
      <c r="H148" s="299"/>
      <c r="I148" s="290"/>
      <c r="J148" s="336"/>
      <c r="K148" s="61"/>
      <c r="L148" s="351">
        <f>SUM(L142:L147)</f>
        <v>3226347.779056665</v>
      </c>
      <c r="M148" s="279"/>
      <c r="N148" s="279"/>
      <c r="O148" s="61"/>
    </row>
    <row r="149" spans="2:15" ht="16" thickBot="1">
      <c r="B149" s="64"/>
      <c r="C149" s="65"/>
      <c r="D149" s="57"/>
      <c r="E149" s="61"/>
      <c r="F149" s="61"/>
      <c r="G149" s="325"/>
      <c r="H149" s="299"/>
      <c r="I149" s="290"/>
      <c r="J149" s="336"/>
      <c r="K149" s="61"/>
      <c r="L149" s="325"/>
      <c r="M149" s="279"/>
      <c r="N149" s="279"/>
      <c r="O149" s="61"/>
    </row>
    <row r="150" spans="2:15">
      <c r="B150" s="64">
        <f>+B148+1</f>
        <v>84</v>
      </c>
      <c r="C150" s="65"/>
      <c r="D150" s="57" t="s">
        <v>249</v>
      </c>
      <c r="E150" s="61" t="str">
        <f>"(ln "&amp;B134&amp;" + ln "&amp;B148&amp;")"</f>
        <v>(ln 70 + ln 83)</v>
      </c>
      <c r="F150" s="61"/>
      <c r="G150" s="299">
        <f>G134+G148</f>
        <v>13821717.659</v>
      </c>
      <c r="H150" s="299"/>
      <c r="I150" s="290"/>
      <c r="J150" s="342"/>
      <c r="K150" s="61"/>
      <c r="L150" s="299">
        <f>+L148+L134</f>
        <v>12869206.97910057</v>
      </c>
      <c r="M150" s="279"/>
      <c r="N150" s="279"/>
      <c r="O150" s="61"/>
    </row>
    <row r="151" spans="2:15">
      <c r="B151" s="64"/>
      <c r="C151" s="65"/>
      <c r="D151" s="57"/>
      <c r="E151" s="61"/>
      <c r="F151" s="61"/>
      <c r="G151" s="289"/>
      <c r="H151" s="353"/>
      <c r="I151" s="316"/>
      <c r="J151" s="354"/>
      <c r="K151" s="353"/>
      <c r="L151" s="289"/>
      <c r="M151" s="279"/>
      <c r="N151" s="279"/>
      <c r="O151" s="61"/>
    </row>
    <row r="152" spans="2:15">
      <c r="B152" s="64">
        <f>+B150+1</f>
        <v>85</v>
      </c>
      <c r="C152" s="65"/>
      <c r="D152" s="317" t="s">
        <v>252</v>
      </c>
      <c r="E152" s="290"/>
      <c r="F152" s="290"/>
      <c r="G152" s="289"/>
      <c r="H152" s="353"/>
      <c r="I152" s="316"/>
      <c r="J152" s="353"/>
      <c r="K152" s="353"/>
      <c r="L152" s="289"/>
      <c r="M152" s="279"/>
      <c r="N152" s="279"/>
      <c r="O152" s="61"/>
    </row>
    <row r="153" spans="2:15">
      <c r="B153" s="64">
        <f t="shared" ref="B153:B156" si="8">+B152+1</f>
        <v>86</v>
      </c>
      <c r="C153" s="65"/>
      <c r="D153" s="320" t="s">
        <v>267</v>
      </c>
      <c r="E153" s="286" t="s">
        <v>884</v>
      </c>
      <c r="F153" s="355"/>
      <c r="G153" s="348">
        <v>29216936</v>
      </c>
      <c r="H153" s="353"/>
      <c r="I153" s="322" t="s">
        <v>259</v>
      </c>
      <c r="J153" s="291">
        <f>+L211</f>
        <v>0.93070312372319608</v>
      </c>
      <c r="K153" s="353"/>
      <c r="L153" s="324">
        <f>+G153*J153</f>
        <v>27192293.600820702</v>
      </c>
      <c r="M153" s="279"/>
      <c r="N153" s="279"/>
      <c r="O153" s="61"/>
    </row>
    <row r="154" spans="2:15">
      <c r="B154" s="64">
        <f>+B153+1</f>
        <v>87</v>
      </c>
      <c r="C154" s="65"/>
      <c r="D154" s="317" t="s">
        <v>275</v>
      </c>
      <c r="E154" s="355" t="s">
        <v>885</v>
      </c>
      <c r="F154" s="61"/>
      <c r="G154" s="348">
        <f>311000+99034</f>
        <v>410034</v>
      </c>
      <c r="H154" s="299"/>
      <c r="I154" s="290" t="s">
        <v>271</v>
      </c>
      <c r="J154" s="291">
        <f>+$L$221</f>
        <v>0.93070312372319608</v>
      </c>
      <c r="K154" s="61"/>
      <c r="L154" s="299">
        <f>+J154*G154</f>
        <v>381619.92463271698</v>
      </c>
      <c r="M154" s="279"/>
      <c r="N154" s="279"/>
      <c r="O154" s="61"/>
    </row>
    <row r="155" spans="2:15" ht="16" thickBot="1">
      <c r="B155" s="64">
        <f t="shared" si="8"/>
        <v>88</v>
      </c>
      <c r="C155" s="65"/>
      <c r="D155" s="317" t="s">
        <v>276</v>
      </c>
      <c r="E155" s="355" t="s">
        <v>672</v>
      </c>
      <c r="F155" s="61"/>
      <c r="G155" s="348">
        <v>852571</v>
      </c>
      <c r="H155" s="299"/>
      <c r="I155" s="290" t="s">
        <v>271</v>
      </c>
      <c r="J155" s="291">
        <f>+L221</f>
        <v>0.93070312372319608</v>
      </c>
      <c r="K155" s="61"/>
      <c r="L155" s="325">
        <f>+J155*G155</f>
        <v>793490.492895809</v>
      </c>
      <c r="M155" s="279"/>
      <c r="N155" s="279"/>
      <c r="O155" s="61"/>
    </row>
    <row r="156" spans="2:15">
      <c r="B156" s="64">
        <f t="shared" si="8"/>
        <v>89</v>
      </c>
      <c r="C156" s="65"/>
      <c r="D156" s="317" t="s">
        <v>386</v>
      </c>
      <c r="E156" s="286" t="str">
        <f>"(sum lns "&amp;B153&amp;" to "&amp;B155&amp;")"</f>
        <v>(sum lns 86 to 88)</v>
      </c>
      <c r="F156" s="61"/>
      <c r="G156" s="351">
        <f>SUM(G153:G155)</f>
        <v>30479541</v>
      </c>
      <c r="H156" s="61"/>
      <c r="I156" s="290"/>
      <c r="J156" s="61"/>
      <c r="K156" s="61"/>
      <c r="L156" s="299">
        <f>SUM(L153:L155)</f>
        <v>28367404.018349227</v>
      </c>
      <c r="M156" s="279"/>
      <c r="N156" s="279"/>
      <c r="O156" s="61"/>
    </row>
    <row r="157" spans="2:15">
      <c r="B157" s="64"/>
      <c r="C157" s="65"/>
      <c r="D157" s="317"/>
      <c r="E157" s="286"/>
      <c r="F157" s="61"/>
      <c r="G157" s="299"/>
      <c r="H157" s="61"/>
      <c r="I157" s="290"/>
      <c r="J157" s="61"/>
      <c r="K157" s="61"/>
      <c r="L157" s="299"/>
      <c r="M157" s="279"/>
      <c r="N157" s="279"/>
      <c r="O157" s="61"/>
    </row>
    <row r="158" spans="2:15">
      <c r="B158" s="64">
        <f>+B156+1</f>
        <v>90</v>
      </c>
      <c r="C158" s="65"/>
      <c r="D158" s="317" t="s">
        <v>211</v>
      </c>
      <c r="E158" s="61" t="s">
        <v>414</v>
      </c>
      <c r="G158" s="299"/>
      <c r="H158" s="61"/>
      <c r="I158" s="290"/>
      <c r="J158" s="61"/>
      <c r="K158" s="61"/>
      <c r="L158" s="299"/>
      <c r="M158" s="279"/>
      <c r="N158" s="279"/>
      <c r="O158" s="61"/>
    </row>
    <row r="159" spans="2:15">
      <c r="B159" s="64">
        <f t="shared" ref="B159:B165" si="9">+B158+1</f>
        <v>91</v>
      </c>
      <c r="C159" s="65"/>
      <c r="D159" s="317" t="s">
        <v>277</v>
      </c>
      <c r="G159" s="299"/>
      <c r="H159" s="61"/>
      <c r="I159" s="290"/>
      <c r="K159" s="61"/>
      <c r="L159" s="299"/>
      <c r="M159" s="279"/>
      <c r="N159" s="279"/>
      <c r="O159" s="61"/>
    </row>
    <row r="160" spans="2:15">
      <c r="B160" s="64">
        <f t="shared" si="9"/>
        <v>92</v>
      </c>
      <c r="C160" s="65"/>
      <c r="D160" s="317" t="s">
        <v>278</v>
      </c>
      <c r="E160" s="61" t="s">
        <v>187</v>
      </c>
      <c r="F160" s="61"/>
      <c r="G160" s="299">
        <f>+'OKT WS L Other Taxes'!I54</f>
        <v>0</v>
      </c>
      <c r="H160" s="299"/>
      <c r="I160" s="290" t="s">
        <v>271</v>
      </c>
      <c r="J160" s="291">
        <f>+L221</f>
        <v>0.93070312372319608</v>
      </c>
      <c r="K160" s="61"/>
      <c r="L160" s="299">
        <f>+J160*G160</f>
        <v>0</v>
      </c>
      <c r="M160" s="279"/>
      <c r="N160" s="279"/>
      <c r="O160" s="61"/>
    </row>
    <row r="161" spans="2:15">
      <c r="B161" s="64">
        <f t="shared" si="9"/>
        <v>93</v>
      </c>
      <c r="C161" s="65"/>
      <c r="D161" s="317" t="s">
        <v>279</v>
      </c>
      <c r="E161" s="61" t="s">
        <v>253</v>
      </c>
      <c r="F161" s="61"/>
      <c r="G161" s="299"/>
      <c r="H161" s="299"/>
      <c r="I161" s="290"/>
      <c r="K161" s="61"/>
      <c r="L161" s="299"/>
      <c r="M161" s="279"/>
      <c r="N161" s="279"/>
      <c r="O161" s="61"/>
    </row>
    <row r="162" spans="2:15">
      <c r="B162" s="64">
        <f t="shared" si="9"/>
        <v>94</v>
      </c>
      <c r="C162" s="65"/>
      <c r="D162" s="317" t="s">
        <v>280</v>
      </c>
      <c r="E162" s="61" t="s">
        <v>188</v>
      </c>
      <c r="F162" s="61"/>
      <c r="G162" s="299">
        <f>+'OKT WS L Other Taxes'!G54</f>
        <v>9870369</v>
      </c>
      <c r="H162" s="299"/>
      <c r="I162" s="290" t="s">
        <v>606</v>
      </c>
      <c r="J162" s="291">
        <f>+J63</f>
        <v>0.93070312372319608</v>
      </c>
      <c r="K162" s="61"/>
      <c r="L162" s="299">
        <f>+G162*J162</f>
        <v>9186383.2606005985</v>
      </c>
      <c r="M162" s="279"/>
      <c r="N162" s="279"/>
      <c r="O162" s="61"/>
    </row>
    <row r="163" spans="2:15">
      <c r="B163" s="64">
        <f t="shared" si="9"/>
        <v>95</v>
      </c>
      <c r="C163" s="65"/>
      <c r="D163" s="317" t="s">
        <v>837</v>
      </c>
      <c r="E163" s="61" t="s">
        <v>189</v>
      </c>
      <c r="F163" s="61"/>
      <c r="G163" s="299">
        <f>+'OKT WS L Other Taxes'!M54</f>
        <v>0</v>
      </c>
      <c r="H163" s="279"/>
      <c r="I163" s="290" t="s">
        <v>266</v>
      </c>
      <c r="J163" s="291">
        <v>0</v>
      </c>
      <c r="K163" s="61"/>
      <c r="L163" s="299">
        <f>+J163*G163</f>
        <v>0</v>
      </c>
      <c r="M163" s="279"/>
      <c r="N163" s="279"/>
      <c r="O163" s="61"/>
    </row>
    <row r="164" spans="2:15" ht="16" thickBot="1">
      <c r="B164" s="64">
        <f t="shared" si="9"/>
        <v>96</v>
      </c>
      <c r="C164" s="65"/>
      <c r="D164" s="317" t="s">
        <v>317</v>
      </c>
      <c r="E164" s="61" t="s">
        <v>190</v>
      </c>
      <c r="F164" s="61"/>
      <c r="G164" s="325">
        <f>+'OKT WS L Other Taxes'!K54</f>
        <v>20207.310000000001</v>
      </c>
      <c r="H164" s="279"/>
      <c r="I164" s="290" t="s">
        <v>606</v>
      </c>
      <c r="J164" s="291">
        <f>+J63</f>
        <v>0.93070312372319608</v>
      </c>
      <c r="K164" s="61"/>
      <c r="L164" s="325">
        <f>+J164*G164</f>
        <v>18807.006539042977</v>
      </c>
      <c r="M164" s="279"/>
      <c r="N164" s="279"/>
      <c r="O164" s="61"/>
    </row>
    <row r="165" spans="2:15">
      <c r="B165" s="64">
        <f t="shared" si="9"/>
        <v>97</v>
      </c>
      <c r="C165" s="65"/>
      <c r="D165" s="317" t="s">
        <v>212</v>
      </c>
      <c r="E165" s="286" t="str">
        <f>"(sum lns "&amp;B160&amp;" to "&amp;B164&amp;")"</f>
        <v>(sum lns 92 to 96)</v>
      </c>
      <c r="F165" s="61"/>
      <c r="G165" s="299">
        <f>SUM(G160:G164)</f>
        <v>9890576.3100000005</v>
      </c>
      <c r="H165" s="61"/>
      <c r="I165" s="290"/>
      <c r="J165" s="356"/>
      <c r="K165" s="61"/>
      <c r="L165" s="299">
        <f>SUM(L160:L164)</f>
        <v>9205190.2671396416</v>
      </c>
      <c r="M165" s="279"/>
      <c r="N165" s="279"/>
      <c r="O165" s="61"/>
    </row>
    <row r="166" spans="2:15">
      <c r="B166" s="64"/>
      <c r="C166" s="65"/>
      <c r="D166" s="317"/>
      <c r="E166" s="61"/>
      <c r="F166" s="61"/>
      <c r="G166" s="61"/>
      <c r="H166" s="61"/>
      <c r="I166" s="290"/>
      <c r="J166" s="356"/>
      <c r="K166" s="61"/>
      <c r="L166" s="61"/>
      <c r="M166" s="279"/>
      <c r="N166" s="279"/>
      <c r="O166" s="61"/>
    </row>
    <row r="167" spans="2:15">
      <c r="B167" s="64">
        <f>+B165+1</f>
        <v>98</v>
      </c>
      <c r="C167" s="65"/>
      <c r="D167" s="317" t="s">
        <v>404</v>
      </c>
      <c r="E167" s="61" t="s">
        <v>413</v>
      </c>
      <c r="F167" s="357"/>
      <c r="G167" s="61"/>
      <c r="H167" s="279"/>
      <c r="I167" s="100"/>
      <c r="K167" s="61"/>
      <c r="M167" s="279"/>
      <c r="N167" s="279"/>
      <c r="O167" s="61"/>
    </row>
    <row r="168" spans="2:15">
      <c r="B168" s="64">
        <f t="shared" ref="B168:B175" si="10">+B167+1</f>
        <v>99</v>
      </c>
      <c r="C168" s="65"/>
      <c r="D168" s="358" t="s">
        <v>405</v>
      </c>
      <c r="E168" s="61"/>
      <c r="F168" s="359"/>
      <c r="G168" s="360">
        <f>IF(F316&gt;0,1-(((1-F317)*(1-F316))/(1-F317*F316*F318)),0)</f>
        <v>0.254714</v>
      </c>
      <c r="H168" s="361"/>
      <c r="I168" s="100"/>
      <c r="J168" s="361"/>
      <c r="K168" s="61"/>
      <c r="M168" s="279"/>
      <c r="N168" s="279"/>
      <c r="O168" s="61"/>
    </row>
    <row r="169" spans="2:15">
      <c r="B169" s="64">
        <f t="shared" si="10"/>
        <v>100</v>
      </c>
      <c r="C169" s="65"/>
      <c r="D169" s="82" t="s">
        <v>406</v>
      </c>
      <c r="E169" s="61"/>
      <c r="F169" s="359"/>
      <c r="G169" s="360">
        <f>IF(L235&gt;0,($G168/(1-$G168))*(1-$L235/$L238),0)</f>
        <v>0.26082889784827401</v>
      </c>
      <c r="H169" s="361"/>
      <c r="I169" s="100"/>
      <c r="K169" s="61"/>
      <c r="M169" s="279"/>
      <c r="N169" s="279"/>
      <c r="O169" s="61"/>
    </row>
    <row r="170" spans="2:15">
      <c r="B170" s="64">
        <f t="shared" si="10"/>
        <v>101</v>
      </c>
      <c r="C170" s="65"/>
      <c r="D170" s="317" t="str">
        <f>"       where WCLTD=(ln "&amp;B235&amp;") and WACC = (ln "&amp;B238&amp;")"</f>
        <v xml:space="preserve">       where WCLTD=(ln 141) and WACC = (ln 144)</v>
      </c>
      <c r="E170" s="61"/>
      <c r="F170" s="357"/>
      <c r="G170" s="61"/>
      <c r="H170" s="279"/>
      <c r="I170" s="100"/>
      <c r="J170" s="362"/>
      <c r="K170" s="61"/>
      <c r="L170" s="363"/>
      <c r="M170" s="279"/>
      <c r="N170" s="279"/>
      <c r="O170" s="61"/>
    </row>
    <row r="171" spans="2:15">
      <c r="B171" s="64">
        <f t="shared" si="10"/>
        <v>102</v>
      </c>
      <c r="C171" s="65"/>
      <c r="D171" s="317" t="s">
        <v>412</v>
      </c>
      <c r="E171" s="364"/>
      <c r="F171" s="359"/>
      <c r="G171" s="61"/>
      <c r="H171" s="279"/>
      <c r="I171" s="100"/>
      <c r="J171" s="362"/>
      <c r="K171" s="61"/>
      <c r="M171" s="279"/>
      <c r="N171" s="279"/>
      <c r="O171" s="61"/>
    </row>
    <row r="172" spans="2:15">
      <c r="B172" s="64">
        <f t="shared" si="10"/>
        <v>103</v>
      </c>
      <c r="C172" s="65"/>
      <c r="D172" s="358" t="str">
        <f>"      GRCF=1 / (1 - T)  = (from ln "&amp;B168&amp;")"</f>
        <v xml:space="preserve">      GRCF=1 / (1 - T)  = (from ln 99)</v>
      </c>
      <c r="E172" s="357"/>
      <c r="F172" s="357"/>
      <c r="G172" s="365">
        <f>IF(G168&gt;0,1/(1-G168),0)</f>
        <v>1.3417667848315948</v>
      </c>
      <c r="H172" s="279"/>
      <c r="I172" s="308"/>
      <c r="J172" s="366"/>
      <c r="K172" s="299"/>
      <c r="L172" s="307"/>
      <c r="M172" s="279"/>
      <c r="N172" s="279"/>
      <c r="O172" s="61"/>
    </row>
    <row r="173" spans="2:15">
      <c r="B173" s="64">
        <f t="shared" si="10"/>
        <v>104</v>
      </c>
      <c r="C173" s="65"/>
      <c r="D173" s="317" t="s">
        <v>407</v>
      </c>
      <c r="E173" s="336" t="s">
        <v>178</v>
      </c>
      <c r="F173" s="357"/>
      <c r="G173" s="1938">
        <v>0</v>
      </c>
      <c r="H173" s="279"/>
      <c r="I173" s="308"/>
      <c r="J173" s="367"/>
      <c r="K173" s="299"/>
      <c r="M173" s="279"/>
      <c r="N173" s="279"/>
      <c r="O173" s="61"/>
    </row>
    <row r="174" spans="2:15">
      <c r="B174" s="64">
        <f t="shared" si="10"/>
        <v>105</v>
      </c>
      <c r="C174" s="65"/>
      <c r="D174" s="113" t="s">
        <v>502</v>
      </c>
      <c r="E174" s="336" t="str">
        <f xml:space="preserve"> "Company Records (Note O) and WS C-4 Ln "&amp;'OKT WS C-4 Excess FIT'!A49</f>
        <v>Company Records (Note O) and WS C-4 Ln 24</v>
      </c>
      <c r="F174" s="357"/>
      <c r="G174" s="348">
        <v>1362052</v>
      </c>
      <c r="H174" s="279"/>
      <c r="I174" s="308" t="s">
        <v>268</v>
      </c>
      <c r="J174" s="367"/>
      <c r="K174" s="349"/>
      <c r="L174" s="289">
        <f>+'OKT WS C-4 Excess FIT'!D49</f>
        <v>541165.19999999984</v>
      </c>
      <c r="M174" s="279"/>
      <c r="N174" s="279"/>
      <c r="O174" s="61"/>
    </row>
    <row r="175" spans="2:15">
      <c r="B175" s="64">
        <f t="shared" si="10"/>
        <v>106</v>
      </c>
      <c r="C175" s="65"/>
      <c r="D175" s="113" t="s">
        <v>589</v>
      </c>
      <c r="E175" s="336" t="s">
        <v>671</v>
      </c>
      <c r="F175" s="357"/>
      <c r="G175" s="348">
        <v>210674.1</v>
      </c>
      <c r="H175" s="279"/>
      <c r="I175" s="308" t="s">
        <v>268</v>
      </c>
      <c r="J175" s="367"/>
      <c r="K175" s="349"/>
      <c r="L175" s="348">
        <v>210674.1</v>
      </c>
      <c r="M175" s="279"/>
      <c r="N175" s="279"/>
      <c r="O175" s="61"/>
    </row>
    <row r="176" spans="2:15">
      <c r="B176" s="64"/>
      <c r="C176" s="65"/>
      <c r="D176" s="317"/>
      <c r="E176" s="61"/>
      <c r="F176" s="359"/>
      <c r="G176" s="299"/>
      <c r="H176" s="279"/>
      <c r="I176" s="308"/>
      <c r="J176" s="363"/>
      <c r="K176" s="299"/>
      <c r="M176" s="279"/>
      <c r="N176" s="279"/>
      <c r="O176" s="61"/>
    </row>
    <row r="177" spans="2:15">
      <c r="B177" s="64">
        <f>+B175+1</f>
        <v>107</v>
      </c>
      <c r="C177" s="65"/>
      <c r="D177" s="358" t="s">
        <v>420</v>
      </c>
      <c r="E177" s="368" t="str">
        <f>"(ln "&amp;B169&amp;" * ln "&amp;B184&amp;")"</f>
        <v>(ln 100 * ln 112)</v>
      </c>
      <c r="F177" s="369"/>
      <c r="G177" s="299">
        <f>+G169*G184</f>
        <v>15243049.622401103</v>
      </c>
      <c r="H177" s="279"/>
      <c r="I177" s="308"/>
      <c r="J177" s="363"/>
      <c r="K177" s="299"/>
      <c r="L177" s="299">
        <f>+L184*G169</f>
        <v>13922432.278143696</v>
      </c>
      <c r="M177" s="279"/>
      <c r="N177" s="279"/>
      <c r="O177" s="61"/>
    </row>
    <row r="178" spans="2:15">
      <c r="B178" s="64">
        <f>+B177+1</f>
        <v>108</v>
      </c>
      <c r="C178" s="65"/>
      <c r="D178" s="82" t="s">
        <v>421</v>
      </c>
      <c r="E178" s="368" t="str">
        <f>"(ln "&amp;B172&amp;" * ln "&amp;B173&amp;")"</f>
        <v>(ln 103 * ln 104)</v>
      </c>
      <c r="F178" s="368"/>
      <c r="G178" s="289">
        <f>G172*G173</f>
        <v>0</v>
      </c>
      <c r="H178" s="279"/>
      <c r="I178" s="65" t="s">
        <v>606</v>
      </c>
      <c r="J178" s="291">
        <f>+J63</f>
        <v>0.93070312372319608</v>
      </c>
      <c r="K178" s="299"/>
      <c r="L178" s="289">
        <f>+G178*J178</f>
        <v>0</v>
      </c>
      <c r="M178" s="279"/>
      <c r="N178" s="279"/>
      <c r="O178" s="61"/>
    </row>
    <row r="179" spans="2:15">
      <c r="B179" s="64">
        <f>+B178+1</f>
        <v>109</v>
      </c>
      <c r="C179" s="65"/>
      <c r="D179" s="113" t="s">
        <v>502</v>
      </c>
      <c r="E179" s="368" t="str">
        <f>"(ln "&amp;B172&amp;" * ln "&amp;B174&amp;")"</f>
        <v>(ln 103 * ln 105)</v>
      </c>
      <c r="F179" s="368"/>
      <c r="G179" s="289">
        <f>G172*G174</f>
        <v>1827556.1328134434</v>
      </c>
      <c r="H179" s="279"/>
      <c r="I179" s="308" t="s">
        <v>268</v>
      </c>
      <c r="J179" s="291"/>
      <c r="K179" s="299"/>
      <c r="L179" s="289">
        <f>G172*L174</f>
        <v>726117.49046674673</v>
      </c>
      <c r="M179" s="279"/>
      <c r="N179" s="279"/>
      <c r="O179" s="61"/>
    </row>
    <row r="180" spans="2:15">
      <c r="B180" s="64">
        <f>+B179+1</f>
        <v>110</v>
      </c>
      <c r="C180" s="65"/>
      <c r="D180" s="113" t="s">
        <v>589</v>
      </c>
      <c r="E180" s="368" t="str">
        <f>"(ln "&amp;B172&amp;" * ln "&amp;B175&amp;")"</f>
        <v>(ln 103 * ln 106)</v>
      </c>
      <c r="F180" s="368"/>
      <c r="G180" s="289">
        <f>G172*G175</f>
        <v>282675.5098042899</v>
      </c>
      <c r="H180" s="279"/>
      <c r="I180" s="308" t="s">
        <v>268</v>
      </c>
      <c r="J180" s="291"/>
      <c r="K180" s="299"/>
      <c r="L180" s="289">
        <f>G172*L175</f>
        <v>282675.5098042899</v>
      </c>
      <c r="M180" s="279"/>
      <c r="N180" s="279"/>
      <c r="O180" s="61"/>
    </row>
    <row r="181" spans="2:15">
      <c r="B181" s="64"/>
      <c r="C181" s="65"/>
      <c r="D181" s="113"/>
      <c r="E181" s="368"/>
      <c r="F181" s="368"/>
      <c r="G181" s="289"/>
      <c r="H181" s="279"/>
      <c r="I181" s="370"/>
      <c r="J181" s="291"/>
      <c r="K181" s="299"/>
      <c r="L181" s="289"/>
      <c r="M181" s="279"/>
      <c r="N181" s="279"/>
      <c r="O181" s="61"/>
    </row>
    <row r="182" spans="2:15">
      <c r="B182" s="64">
        <f>+B180+1</f>
        <v>111</v>
      </c>
      <c r="C182" s="65"/>
      <c r="D182" s="358" t="s">
        <v>213</v>
      </c>
      <c r="E182" s="61" t="str">
        <f>"(sum lns "&amp;B177&amp;" to "&amp;B180&amp;")"</f>
        <v>(sum lns 107 to 110)</v>
      </c>
      <c r="F182" s="368"/>
      <c r="G182" s="370">
        <f>SUM(G177:G180)</f>
        <v>17353281.265018836</v>
      </c>
      <c r="H182" s="279"/>
      <c r="I182" s="308" t="s">
        <v>253</v>
      </c>
      <c r="J182" s="371"/>
      <c r="K182" s="299"/>
      <c r="L182" s="299">
        <f>SUM(L177:L180)</f>
        <v>14931225.278414734</v>
      </c>
      <c r="M182" s="279"/>
      <c r="N182" s="279"/>
      <c r="O182" s="61"/>
    </row>
    <row r="183" spans="2:15">
      <c r="B183" s="64"/>
      <c r="C183" s="65"/>
      <c r="D183" s="317"/>
      <c r="E183" s="61"/>
      <c r="F183" s="61"/>
      <c r="G183" s="61"/>
      <c r="H183" s="61"/>
      <c r="I183" s="290"/>
      <c r="J183" s="356"/>
      <c r="K183" s="61"/>
      <c r="L183" s="61"/>
      <c r="M183" s="279"/>
      <c r="N183" s="279"/>
      <c r="O183" s="61"/>
    </row>
    <row r="184" spans="2:15">
      <c r="B184" s="64">
        <f>+B182+1</f>
        <v>112</v>
      </c>
      <c r="C184" s="65"/>
      <c r="D184" s="358" t="s">
        <v>334</v>
      </c>
      <c r="E184" s="358" t="str">
        <f>"(ln "&amp;B113&amp;" * ln "&amp;B238&amp;")"</f>
        <v>(ln 63 * ln 144)</v>
      </c>
      <c r="F184" s="340"/>
      <c r="G184" s="299">
        <f>+$L238*G113</f>
        <v>58440800.648048177</v>
      </c>
      <c r="H184" s="61"/>
      <c r="I184" s="308"/>
      <c r="J184" s="299"/>
      <c r="K184" s="299"/>
      <c r="L184" s="299">
        <f>+L238*L113</f>
        <v>53377644.85836409</v>
      </c>
      <c r="M184" s="279"/>
      <c r="N184" s="279"/>
    </row>
    <row r="185" spans="2:15">
      <c r="B185" s="64"/>
      <c r="C185" s="65"/>
      <c r="D185" s="358"/>
      <c r="G185" s="299"/>
      <c r="H185" s="299"/>
      <c r="I185" s="308"/>
      <c r="J185" s="308"/>
      <c r="K185" s="299"/>
      <c r="L185" s="299"/>
      <c r="M185" s="279"/>
      <c r="N185" s="279"/>
    </row>
    <row r="186" spans="2:15">
      <c r="B186" s="64">
        <f>+B184+1</f>
        <v>113</v>
      </c>
      <c r="C186" s="65"/>
      <c r="D186" s="372" t="str">
        <f>"INTEREST ON IPP CONTRIBUTION FOR CONST. (Note E) (Worksheet E, ln "&amp;'OKT WS E IPP Credits'!A12&amp;")"</f>
        <v>INTEREST ON IPP CONTRIBUTION FOR CONST. (Note E) (Worksheet E, ln 2)</v>
      </c>
      <c r="F186" s="355"/>
      <c r="G186" s="299">
        <f>'OKT WS E IPP Credits'!C12</f>
        <v>0</v>
      </c>
      <c r="H186" s="299"/>
      <c r="I186" s="343" t="s">
        <v>268</v>
      </c>
      <c r="J186" s="291">
        <v>1</v>
      </c>
      <c r="K186" s="324"/>
      <c r="L186" s="299">
        <f>+J186*G186</f>
        <v>0</v>
      </c>
      <c r="M186" s="279"/>
      <c r="N186" s="279"/>
    </row>
    <row r="187" spans="2:15" ht="16" thickBot="1">
      <c r="B187" s="64"/>
      <c r="C187" s="65"/>
      <c r="D187" s="317"/>
      <c r="G187" s="325"/>
      <c r="H187" s="373"/>
      <c r="I187" s="308"/>
      <c r="J187" s="308"/>
      <c r="K187" s="299"/>
      <c r="L187" s="325"/>
      <c r="M187" s="279"/>
      <c r="N187" s="279"/>
    </row>
    <row r="188" spans="2:15" ht="16" thickBot="1">
      <c r="B188" s="64">
        <f>+B186+1</f>
        <v>114</v>
      </c>
      <c r="C188" s="65"/>
      <c r="D188" s="57" t="s">
        <v>143</v>
      </c>
      <c r="E188" s="374"/>
      <c r="F188" s="374"/>
      <c r="G188" s="344">
        <f>G150+G156+G165+G182+G184+G186</f>
        <v>129985916.88206701</v>
      </c>
      <c r="H188" s="299"/>
      <c r="I188" s="308"/>
      <c r="J188" s="342"/>
      <c r="K188" s="299"/>
      <c r="L188" s="344">
        <f>L150+L156+L165+L182+L184+L186</f>
        <v>118750671.40136826</v>
      </c>
      <c r="M188" s="279"/>
      <c r="N188" s="279"/>
    </row>
    <row r="189" spans="2:15" ht="16" thickTop="1">
      <c r="B189" s="64">
        <f>+B188+1</f>
        <v>115</v>
      </c>
      <c r="C189" s="65"/>
      <c r="D189" s="57" t="str">
        <f>"    (sum lns "&amp;B150&amp;", "&amp;B156&amp;", "&amp;B165&amp;", "&amp;B182&amp;", "&amp;B184&amp;", "&amp;B186&amp;")"</f>
        <v xml:space="preserve">    (sum lns 84, 89, 97, 111, 112, 113)</v>
      </c>
      <c r="E189" s="374"/>
      <c r="F189" s="374"/>
      <c r="G189" s="289"/>
      <c r="H189" s="299"/>
      <c r="I189" s="299"/>
      <c r="J189" s="342"/>
      <c r="K189" s="299"/>
      <c r="L189" s="289"/>
      <c r="M189" s="279"/>
      <c r="N189" s="279"/>
    </row>
    <row r="190" spans="2:15">
      <c r="B190" s="64"/>
      <c r="C190" s="65"/>
      <c r="D190" s="57"/>
      <c r="E190" s="374"/>
      <c r="F190" s="374"/>
      <c r="G190" s="289"/>
      <c r="H190" s="299"/>
      <c r="I190" s="299"/>
      <c r="J190" s="342"/>
      <c r="K190" s="299"/>
      <c r="L190" s="289"/>
      <c r="M190" s="279"/>
      <c r="N190" s="279"/>
    </row>
    <row r="191" spans="2:15">
      <c r="B191" s="64">
        <f>+B189+1</f>
        <v>116</v>
      </c>
      <c r="C191" s="65"/>
      <c r="D191" s="57" t="s">
        <v>411</v>
      </c>
      <c r="F191" s="374"/>
      <c r="G191" s="305">
        <f>+'OKT WS K State Taxes'!I48</f>
        <v>0</v>
      </c>
      <c r="H191" s="299"/>
      <c r="I191" s="308" t="s">
        <v>268</v>
      </c>
      <c r="J191" s="342"/>
      <c r="K191" s="299"/>
      <c r="L191" s="305">
        <f>+'OKT WS K State Taxes'!K48</f>
        <v>0</v>
      </c>
      <c r="M191" s="279"/>
      <c r="N191" s="279"/>
    </row>
    <row r="192" spans="2:15">
      <c r="B192" s="64"/>
      <c r="C192" s="279"/>
      <c r="D192" s="279"/>
      <c r="E192" s="279"/>
      <c r="F192" s="279"/>
      <c r="G192" s="279"/>
      <c r="H192" s="279"/>
      <c r="I192" s="275"/>
      <c r="J192" s="331"/>
      <c r="K192" s="275"/>
      <c r="M192" s="279"/>
      <c r="N192" s="279"/>
    </row>
    <row r="193" spans="2:16" ht="16" thickBot="1">
      <c r="B193" s="64">
        <f>+B191+1</f>
        <v>117</v>
      </c>
      <c r="C193" s="65"/>
      <c r="D193" s="53" t="s">
        <v>652</v>
      </c>
      <c r="E193" s="61" t="str">
        <f>"(ln "&amp;B188&amp;" + "&amp;B191&amp;")"</f>
        <v>(ln 114 + 116)</v>
      </c>
      <c r="G193" s="375">
        <f>+G188+G191</f>
        <v>129985916.88206701</v>
      </c>
      <c r="J193" s="342"/>
      <c r="L193" s="375">
        <f>+L188+L191</f>
        <v>118750671.40136826</v>
      </c>
      <c r="M193" s="279"/>
      <c r="N193" s="279"/>
    </row>
    <row r="194" spans="2:16" ht="16" thickTop="1">
      <c r="B194" s="64"/>
      <c r="C194" s="65"/>
      <c r="D194" s="57"/>
      <c r="F194" s="376"/>
      <c r="M194" s="279"/>
      <c r="N194" s="279"/>
    </row>
    <row r="195" spans="2:16">
      <c r="B195" s="64"/>
      <c r="C195" s="65"/>
      <c r="F195" s="376"/>
      <c r="M195" s="279"/>
      <c r="N195" s="279"/>
    </row>
    <row r="196" spans="2:16">
      <c r="B196" s="64"/>
      <c r="C196" s="65"/>
      <c r="D196" s="57"/>
      <c r="F196" s="100" t="str">
        <f>F116</f>
        <v xml:space="preserve">AEP West SPP Member Transmission Companies </v>
      </c>
      <c r="M196" s="279"/>
      <c r="N196" s="279"/>
    </row>
    <row r="197" spans="2:16">
      <c r="B197" s="64"/>
      <c r="C197" s="65"/>
      <c r="D197" s="57"/>
      <c r="F197" s="100" t="str">
        <f>F117</f>
        <v>Transmission Cost of Service Formula Rate</v>
      </c>
      <c r="M197" s="279"/>
      <c r="N197" s="279"/>
    </row>
    <row r="198" spans="2:16">
      <c r="B198" s="53"/>
      <c r="C198" s="65"/>
      <c r="F198" s="100" t="str">
        <f>F118</f>
        <v>Utilizing Actual / Projected Cost Data for the 2019 Rate Year</v>
      </c>
      <c r="M198" s="279"/>
      <c r="N198" s="279"/>
    </row>
    <row r="199" spans="2:16">
      <c r="B199" s="64"/>
      <c r="C199" s="65"/>
      <c r="E199" s="100"/>
      <c r="F199" s="100"/>
      <c r="G199" s="100"/>
      <c r="H199" s="100"/>
      <c r="I199" s="100"/>
      <c r="J199" s="100"/>
      <c r="K199" s="100"/>
      <c r="M199" s="279"/>
      <c r="N199" s="279"/>
    </row>
    <row r="200" spans="2:16">
      <c r="B200" s="64"/>
      <c r="C200" s="65"/>
      <c r="E200" s="57"/>
      <c r="F200" s="100" t="str">
        <f>F120</f>
        <v>AEP OKLAHOMA TRANSMISSION COMPANY, INC.</v>
      </c>
      <c r="G200" s="57"/>
      <c r="H200" s="57"/>
      <c r="I200" s="57"/>
      <c r="J200" s="57"/>
      <c r="K200" s="57"/>
      <c r="L200" s="57"/>
      <c r="M200" s="279"/>
      <c r="N200" s="279"/>
    </row>
    <row r="201" spans="2:16">
      <c r="B201" s="64"/>
      <c r="C201" s="65"/>
      <c r="E201" s="57"/>
      <c r="F201" s="100"/>
      <c r="G201" s="299"/>
      <c r="H201" s="57"/>
      <c r="I201" s="57"/>
      <c r="J201" s="57"/>
      <c r="K201" s="57"/>
      <c r="L201" s="299"/>
      <c r="M201" s="279"/>
      <c r="N201" s="279"/>
    </row>
    <row r="202" spans="2:16">
      <c r="B202" s="64"/>
      <c r="C202" s="65"/>
      <c r="F202" s="71" t="s">
        <v>217</v>
      </c>
      <c r="H202" s="60"/>
      <c r="I202" s="60"/>
      <c r="J202" s="60"/>
      <c r="K202" s="60"/>
      <c r="L202" s="60"/>
      <c r="M202" s="279"/>
      <c r="N202" s="279"/>
    </row>
    <row r="203" spans="2:16">
      <c r="B203" s="64"/>
      <c r="C203" s="65"/>
      <c r="D203" s="377"/>
      <c r="E203" s="60"/>
      <c r="F203" s="60"/>
      <c r="G203" s="60"/>
      <c r="H203" s="60"/>
      <c r="I203" s="60"/>
      <c r="J203" s="60"/>
      <c r="K203" s="60"/>
      <c r="L203" s="60"/>
      <c r="M203" s="279"/>
      <c r="N203" s="279"/>
    </row>
    <row r="204" spans="2:16">
      <c r="B204" s="64" t="s">
        <v>255</v>
      </c>
      <c r="C204" s="65"/>
      <c r="D204" s="377"/>
      <c r="E204" s="60"/>
      <c r="F204" s="60"/>
      <c r="G204" s="60"/>
      <c r="H204" s="60"/>
      <c r="I204" s="60"/>
      <c r="J204" s="60"/>
      <c r="K204" s="60"/>
      <c r="L204" s="60"/>
      <c r="M204" s="279"/>
      <c r="N204" s="279"/>
    </row>
    <row r="205" spans="2:16" ht="16" thickBot="1">
      <c r="B205" s="73" t="s">
        <v>256</v>
      </c>
      <c r="C205" s="74"/>
      <c r="D205" s="57" t="s">
        <v>924</v>
      </c>
      <c r="E205" s="60"/>
      <c r="F205" s="60"/>
      <c r="G205" s="60"/>
      <c r="H205" s="60"/>
      <c r="I205" s="60"/>
      <c r="J205" s="60"/>
      <c r="M205" s="279"/>
      <c r="N205" s="279"/>
      <c r="P205" s="279"/>
    </row>
    <row r="206" spans="2:16">
      <c r="B206" s="64">
        <f>+B193+1</f>
        <v>118</v>
      </c>
      <c r="C206" s="65"/>
      <c r="D206" s="60" t="s">
        <v>304</v>
      </c>
      <c r="E206" s="378" t="str">
        <f>"(ln "&amp;B56&amp;")"</f>
        <v>(ln 16)</v>
      </c>
      <c r="F206" s="83"/>
      <c r="H206" s="353"/>
      <c r="I206" s="353"/>
      <c r="J206" s="353"/>
      <c r="K206" s="353"/>
      <c r="L206" s="289">
        <f>+G56</f>
        <v>997294681.76923072</v>
      </c>
      <c r="M206" s="279"/>
      <c r="N206" s="279"/>
      <c r="P206" s="279"/>
    </row>
    <row r="207" spans="2:16">
      <c r="B207" s="64">
        <f>+B206+1</f>
        <v>119</v>
      </c>
      <c r="C207" s="65"/>
      <c r="D207" s="379" t="str">
        <f>"  Less transmission plant excluded from SPP Tariff  (Worksheet A-1, ln "&amp;'OKT WS A-1 - Plant'!A44&amp;" Col. (F))  (Note Q)"</f>
        <v xml:space="preserve">  Less transmission plant excluded from SPP Tariff  (Worksheet A-1, ln 28 Col. (F))  (Note Q)</v>
      </c>
      <c r="E207" s="82"/>
      <c r="F207" s="82"/>
      <c r="G207" s="380"/>
      <c r="H207" s="82"/>
      <c r="I207" s="82"/>
      <c r="J207" s="82"/>
      <c r="K207" s="82"/>
      <c r="L207" s="289">
        <f>+'OKT WS A-1 - Plant'!G44</f>
        <v>69109406.174076945</v>
      </c>
      <c r="M207" s="279"/>
      <c r="N207" s="279"/>
      <c r="P207" s="279"/>
    </row>
    <row r="208" spans="2:16" ht="16" thickBot="1">
      <c r="B208" s="64">
        <f>+B207+1</f>
        <v>120</v>
      </c>
      <c r="C208" s="65"/>
      <c r="D208" s="83" t="str">
        <f>"  Less transmission plant included in OATT Ancillary Services (Worksheet A-1, ln "&amp;'OKT WS A-1 - Plant'!A44&amp;", Col. (E))  (Note R)"</f>
        <v xml:space="preserve">  Less transmission plant included in OATT Ancillary Services (Worksheet A-1, ln 28, Col. (E))  (Note R)</v>
      </c>
      <c r="E208" s="83"/>
      <c r="F208" s="83"/>
      <c r="G208" s="316"/>
      <c r="H208" s="353"/>
      <c r="I208" s="353"/>
      <c r="J208" s="316"/>
      <c r="K208" s="353"/>
      <c r="L208" s="381">
        <f>+'OKT WS A-1 - Plant'!F44</f>
        <v>0</v>
      </c>
      <c r="M208" s="279"/>
      <c r="N208" s="279"/>
      <c r="P208" s="279"/>
    </row>
    <row r="209" spans="2:16">
      <c r="B209" s="64">
        <f>+B208+1</f>
        <v>121</v>
      </c>
      <c r="C209" s="65"/>
      <c r="D209" s="60" t="s">
        <v>86</v>
      </c>
      <c r="E209" s="382" t="str">
        <f>"(ln "&amp;B206&amp;" - ln "&amp;B207&amp;" - ln "&amp;B208&amp;")"</f>
        <v>(ln 118 - ln 119 - ln 120)</v>
      </c>
      <c r="F209" s="83"/>
      <c r="H209" s="353"/>
      <c r="I209" s="353"/>
      <c r="J209" s="316"/>
      <c r="K209" s="353"/>
      <c r="L209" s="289">
        <f>L206-L207-L208</f>
        <v>928185275.59515381</v>
      </c>
      <c r="M209" s="279"/>
      <c r="N209" s="279"/>
      <c r="P209" s="279"/>
    </row>
    <row r="210" spans="2:16">
      <c r="B210" s="64"/>
      <c r="C210" s="65"/>
      <c r="E210" s="83"/>
      <c r="F210" s="83"/>
      <c r="G210" s="316"/>
      <c r="H210" s="353"/>
      <c r="I210" s="353"/>
      <c r="J210" s="316"/>
      <c r="K210" s="353"/>
      <c r="L210" s="82"/>
      <c r="M210" s="279"/>
      <c r="N210" s="279"/>
      <c r="P210" s="279"/>
    </row>
    <row r="211" spans="2:16">
      <c r="B211" s="64">
        <f>+B209+1</f>
        <v>122</v>
      </c>
      <c r="C211" s="65"/>
      <c r="D211" s="60" t="s">
        <v>87</v>
      </c>
      <c r="E211" s="376" t="str">
        <f>"(ln "&amp;B209&amp;" / ln "&amp;B206&amp;")"</f>
        <v>(ln 121 / ln 118)</v>
      </c>
      <c r="F211" s="383"/>
      <c r="H211" s="384"/>
      <c r="I211" s="385"/>
      <c r="J211" s="385"/>
      <c r="K211" s="386" t="s">
        <v>281</v>
      </c>
      <c r="L211" s="387">
        <f>IF(L206&gt;0,L209/L206,0)</f>
        <v>0.93070312372319608</v>
      </c>
      <c r="M211" s="279"/>
      <c r="N211" s="279"/>
      <c r="P211" s="279"/>
    </row>
    <row r="212" spans="2:16">
      <c r="B212" s="64"/>
      <c r="C212" s="65"/>
      <c r="D212" s="377"/>
      <c r="E212" s="60"/>
      <c r="F212" s="60"/>
      <c r="G212" s="284"/>
      <c r="H212" s="60"/>
      <c r="I212" s="65"/>
      <c r="J212" s="60"/>
      <c r="K212" s="60"/>
      <c r="L212" s="60"/>
      <c r="M212" s="279"/>
      <c r="N212" s="279"/>
    </row>
    <row r="213" spans="2:16" ht="31">
      <c r="B213" s="64">
        <f>B211+1</f>
        <v>123</v>
      </c>
      <c r="C213" s="65"/>
      <c r="D213" s="57" t="s">
        <v>218</v>
      </c>
      <c r="E213" s="290" t="s">
        <v>56</v>
      </c>
      <c r="F213" s="290" t="s">
        <v>320</v>
      </c>
      <c r="G213" s="388" t="s">
        <v>352</v>
      </c>
      <c r="H213" s="100" t="s">
        <v>257</v>
      </c>
      <c r="I213" s="290"/>
      <c r="J213" s="61"/>
      <c r="K213" s="61"/>
      <c r="L213" s="61"/>
      <c r="M213" s="279"/>
      <c r="N213" s="279"/>
    </row>
    <row r="214" spans="2:16">
      <c r="B214" s="64">
        <f t="shared" ref="B214:B219" si="11">+B213+1</f>
        <v>124</v>
      </c>
      <c r="C214" s="65"/>
      <c r="D214" s="57" t="s">
        <v>265</v>
      </c>
      <c r="E214" s="61" t="s">
        <v>59</v>
      </c>
      <c r="F214" s="1938">
        <v>0</v>
      </c>
      <c r="G214" s="1938">
        <v>0</v>
      </c>
      <c r="H214" s="305">
        <f>+F214+G214</f>
        <v>0</v>
      </c>
      <c r="I214" s="290" t="s">
        <v>266</v>
      </c>
      <c r="J214" s="291">
        <v>0</v>
      </c>
      <c r="K214" s="389"/>
      <c r="L214" s="299">
        <f>(F214+G214)*J214</f>
        <v>0</v>
      </c>
      <c r="M214" s="279"/>
      <c r="N214" s="279"/>
    </row>
    <row r="215" spans="2:16">
      <c r="B215" s="64">
        <f>+B214+1</f>
        <v>125</v>
      </c>
      <c r="C215" s="65"/>
      <c r="D215" s="317" t="s">
        <v>267</v>
      </c>
      <c r="E215" s="61" t="s">
        <v>146</v>
      </c>
      <c r="F215" s="1938">
        <v>0</v>
      </c>
      <c r="G215" s="348">
        <v>3432901.6443203054</v>
      </c>
      <c r="H215" s="305">
        <f>+F215+G215</f>
        <v>3432901.6443203054</v>
      </c>
      <c r="I215" s="65" t="s">
        <v>259</v>
      </c>
      <c r="J215" s="291">
        <f>+L211</f>
        <v>0.93070312372319608</v>
      </c>
      <c r="L215" s="289">
        <f>(F215+G215)*J215</f>
        <v>3195012.2838034043</v>
      </c>
      <c r="M215" s="279"/>
      <c r="N215" s="279"/>
    </row>
    <row r="216" spans="2:16">
      <c r="B216" s="64">
        <f>+B215+1</f>
        <v>126</v>
      </c>
      <c r="C216" s="65"/>
      <c r="D216" s="317" t="s">
        <v>144</v>
      </c>
      <c r="E216" s="61" t="s">
        <v>145</v>
      </c>
      <c r="F216" s="1938">
        <v>0</v>
      </c>
      <c r="G216" s="1938">
        <v>0</v>
      </c>
      <c r="H216" s="305">
        <f>+F216+G216</f>
        <v>0</v>
      </c>
      <c r="I216" s="290" t="s">
        <v>266</v>
      </c>
      <c r="J216" s="291">
        <v>0</v>
      </c>
      <c r="K216" s="389"/>
      <c r="L216" s="299">
        <f>(F216+G216)*J216</f>
        <v>0</v>
      </c>
      <c r="M216" s="279"/>
      <c r="N216" s="279"/>
    </row>
    <row r="217" spans="2:16">
      <c r="B217" s="64">
        <f t="shared" si="11"/>
        <v>127</v>
      </c>
      <c r="C217" s="65"/>
      <c r="D217" s="317" t="s">
        <v>269</v>
      </c>
      <c r="E217" s="61" t="s">
        <v>57</v>
      </c>
      <c r="F217" s="1938">
        <v>0</v>
      </c>
      <c r="G217" s="1938">
        <v>0</v>
      </c>
      <c r="H217" s="305">
        <f>+F217+G217</f>
        <v>0</v>
      </c>
      <c r="I217" s="290" t="s">
        <v>266</v>
      </c>
      <c r="J217" s="291">
        <v>0</v>
      </c>
      <c r="K217" s="389"/>
      <c r="L217" s="299">
        <f>(F217+G217)*J217</f>
        <v>0</v>
      </c>
      <c r="M217" s="279"/>
      <c r="N217" s="279"/>
    </row>
    <row r="218" spans="2:16" ht="16" thickBot="1">
      <c r="B218" s="64">
        <f t="shared" si="11"/>
        <v>128</v>
      </c>
      <c r="C218" s="65"/>
      <c r="D218" s="317" t="s">
        <v>335</v>
      </c>
      <c r="E218" s="390" t="s">
        <v>58</v>
      </c>
      <c r="F218" s="1938">
        <v>0</v>
      </c>
      <c r="G218" s="1938">
        <v>0</v>
      </c>
      <c r="H218" s="381">
        <f>+F218+G218</f>
        <v>0</v>
      </c>
      <c r="I218" s="290" t="s">
        <v>266</v>
      </c>
      <c r="J218" s="291">
        <v>0</v>
      </c>
      <c r="K218" s="389"/>
      <c r="L218" s="325">
        <f>(F218+G218)*J218</f>
        <v>0</v>
      </c>
      <c r="M218" s="279"/>
      <c r="N218" s="279"/>
    </row>
    <row r="219" spans="2:16">
      <c r="B219" s="64">
        <f t="shared" si="11"/>
        <v>129</v>
      </c>
      <c r="C219" s="65"/>
      <c r="D219" s="317" t="s">
        <v>257</v>
      </c>
      <c r="E219" s="317" t="str">
        <f>"(sum lns "&amp;B214&amp;" to "&amp;B218&amp;")"</f>
        <v>(sum lns 124 to 128)</v>
      </c>
      <c r="F219" s="351">
        <f>SUM(F214:F218)</f>
        <v>0</v>
      </c>
      <c r="G219" s="351">
        <f>SUM(G214:G218)</f>
        <v>3432901.6443203054</v>
      </c>
      <c r="H219" s="61">
        <f>SUM(H214:H218)</f>
        <v>3432901.6443203054</v>
      </c>
      <c r="I219" s="290"/>
      <c r="J219" s="61"/>
      <c r="K219" s="61"/>
      <c r="L219" s="299">
        <f>SUM(L214:L218)</f>
        <v>3195012.2838034043</v>
      </c>
      <c r="M219" s="279"/>
      <c r="N219" s="279"/>
    </row>
    <row r="220" spans="2:16">
      <c r="B220" s="64"/>
      <c r="C220" s="65"/>
      <c r="D220" s="317" t="s">
        <v>253</v>
      </c>
      <c r="E220" s="61" t="s">
        <v>253</v>
      </c>
      <c r="F220" s="61"/>
      <c r="H220" s="61"/>
      <c r="I220" s="100"/>
      <c r="M220" s="279"/>
      <c r="N220" s="279"/>
    </row>
    <row r="221" spans="2:16">
      <c r="B221" s="64">
        <f>B219+1</f>
        <v>130</v>
      </c>
      <c r="C221" s="65"/>
      <c r="D221" s="317" t="s">
        <v>219</v>
      </c>
      <c r="E221" s="61"/>
      <c r="F221" s="61"/>
      <c r="G221" s="61"/>
      <c r="H221" s="61"/>
      <c r="I221" s="100"/>
      <c r="K221" s="330" t="s">
        <v>220</v>
      </c>
      <c r="L221" s="327">
        <f>IF(H219&lt;&gt;0,L219/(F219+G219),0)</f>
        <v>0.93070312372319608</v>
      </c>
      <c r="M221" s="279"/>
      <c r="N221" s="279"/>
    </row>
    <row r="222" spans="2:16">
      <c r="B222" s="64"/>
      <c r="C222" s="65"/>
      <c r="D222" s="317"/>
      <c r="E222" s="61"/>
      <c r="F222" s="61"/>
      <c r="G222" s="61"/>
      <c r="H222" s="61"/>
      <c r="I222" s="290"/>
      <c r="J222" s="61"/>
      <c r="K222" s="61"/>
      <c r="L222" s="61"/>
      <c r="M222" s="279"/>
      <c r="N222" s="279"/>
    </row>
    <row r="223" spans="2:16" ht="18">
      <c r="B223" s="64"/>
      <c r="C223" s="65"/>
      <c r="D223" s="391" t="s">
        <v>938</v>
      </c>
      <c r="E223" s="376"/>
      <c r="F223" s="61"/>
      <c r="H223" s="61"/>
      <c r="I223" s="61"/>
      <c r="J223" s="61"/>
      <c r="K223" s="314"/>
      <c r="L223" s="392"/>
      <c r="M223" s="279"/>
      <c r="N223" s="279"/>
    </row>
    <row r="224" spans="2:16" ht="16" thickBot="1">
      <c r="B224" s="64">
        <f>+B221+1</f>
        <v>131</v>
      </c>
      <c r="C224" s="65"/>
      <c r="D224" s="317" t="s">
        <v>939</v>
      </c>
      <c r="E224" s="61"/>
      <c r="F224" s="61"/>
      <c r="G224" s="61"/>
      <c r="H224" s="61"/>
      <c r="I224" s="61"/>
      <c r="J224" s="61"/>
      <c r="K224" s="61"/>
      <c r="L224" s="393" t="s">
        <v>282</v>
      </c>
      <c r="M224" s="279"/>
      <c r="N224" s="279"/>
    </row>
    <row r="225" spans="2:21">
      <c r="B225" s="64">
        <f t="shared" ref="B225:B232" si="12">+B224+1</f>
        <v>132</v>
      </c>
      <c r="C225" s="65"/>
      <c r="D225" s="61" t="s">
        <v>355</v>
      </c>
      <c r="E225" s="53" t="str">
        <f>"Long Term Interest (Worksheet M, ln. "&amp;'OKT WS M - Cost of Capital'!A58&amp;", col. "&amp;'OKT WS M - Cost of Capital'!E48&amp;")"</f>
        <v>Long Term Interest (Worksheet M, ln. 37, col. (d))</v>
      </c>
      <c r="F225" s="61"/>
      <c r="G225" s="61"/>
      <c r="H225" s="61"/>
      <c r="I225" s="61"/>
      <c r="J225" s="61"/>
      <c r="K225" s="61"/>
      <c r="L225" s="299">
        <f>+'OKT WS M - Cost of Capital'!E58</f>
        <v>15611550.859999999</v>
      </c>
      <c r="M225" s="279"/>
      <c r="N225" s="279"/>
    </row>
    <row r="226" spans="2:21">
      <c r="B226" s="64">
        <f t="shared" si="12"/>
        <v>133</v>
      </c>
      <c r="C226" s="65"/>
      <c r="D226" s="61" t="s">
        <v>356</v>
      </c>
      <c r="E226" s="53" t="str">
        <f>"Preferred Stock Dividends (Worksheet M, ln. "&amp;'OKT WS M - Cost of Capital'!A87&amp;", col. "&amp;'OKT WS M - Cost of Capital'!E48&amp;")"</f>
        <v>Preferred Stock Dividends (Worksheet M, ln. 57, col. (d))</v>
      </c>
      <c r="F226" s="61"/>
      <c r="G226" s="61"/>
      <c r="H226" s="61"/>
      <c r="I226" s="61"/>
      <c r="J226" s="61"/>
      <c r="K226" s="61"/>
      <c r="L226" s="299">
        <f>+'OKT WS M - Cost of Capital'!E87</f>
        <v>0</v>
      </c>
      <c r="M226" s="279"/>
      <c r="N226" s="279"/>
    </row>
    <row r="227" spans="2:21" ht="16" thickBot="1">
      <c r="B227" s="64">
        <f t="shared" si="12"/>
        <v>134</v>
      </c>
      <c r="C227" s="65"/>
      <c r="D227" s="394" t="s">
        <v>362</v>
      </c>
      <c r="E227" s="61"/>
      <c r="F227" s="61"/>
      <c r="G227" s="61"/>
      <c r="H227" s="279"/>
      <c r="I227" s="279"/>
      <c r="J227" s="279"/>
      <c r="K227" s="61"/>
      <c r="L227" s="395" t="s">
        <v>179</v>
      </c>
      <c r="M227" s="279"/>
      <c r="N227" s="279"/>
    </row>
    <row r="228" spans="2:21">
      <c r="B228" s="64">
        <f t="shared" si="12"/>
        <v>135</v>
      </c>
      <c r="C228" s="65"/>
      <c r="D228" s="61" t="s">
        <v>363</v>
      </c>
      <c r="E228" s="53" t="str">
        <f>"(Worksheet M, ln. "&amp;'OKT WS M - Cost of Capital'!A24&amp;", col. "&amp;'OKT WS M - Cost of Capital'!C9&amp;")"</f>
        <v>(Worksheet M, ln. 14, col. (b))</v>
      </c>
      <c r="F228" s="61"/>
      <c r="G228" s="60"/>
      <c r="H228" s="279"/>
      <c r="I228" s="279"/>
      <c r="J228" s="279"/>
      <c r="K228" s="61"/>
      <c r="L228" s="305">
        <f>+'OKT WS M - Cost of Capital'!C24</f>
        <v>479137975.13761532</v>
      </c>
      <c r="M228" s="279"/>
      <c r="N228" s="279"/>
    </row>
    <row r="229" spans="2:21">
      <c r="B229" s="64">
        <f t="shared" si="12"/>
        <v>136</v>
      </c>
      <c r="C229" s="65"/>
      <c r="D229" s="61" t="str">
        <f>"Less Preferred Stock (ln "&amp;B236&amp;")"</f>
        <v>Less Preferred Stock (ln 142)</v>
      </c>
      <c r="E229" s="53" t="str">
        <f>"(Worksheet M, ln. "&amp;'OKT WS M - Cost of Capital'!A24&amp;", col. "&amp;'OKT WS M - Cost of Capital'!D9&amp;")"</f>
        <v>(Worksheet M, ln. 14, col. (c))</v>
      </c>
      <c r="F229" s="61"/>
      <c r="G229" s="61"/>
      <c r="H229" s="279"/>
      <c r="I229" s="279"/>
      <c r="J229" s="279"/>
      <c r="K229" s="61"/>
      <c r="L229" s="305">
        <f>+'OKT WS M - Cost of Capital'!D24</f>
        <v>0</v>
      </c>
      <c r="M229" s="279"/>
      <c r="N229" s="279"/>
    </row>
    <row r="230" spans="2:21">
      <c r="B230" s="64">
        <f t="shared" si="12"/>
        <v>137</v>
      </c>
      <c r="C230" s="65"/>
      <c r="D230" s="61" t="s">
        <v>52</v>
      </c>
      <c r="E230" s="53" t="str">
        <f>"(Worksheet M, ln. "&amp;'OKT WS M - Cost of Capital'!A24&amp;", col. "&amp;'OKT WS M - Cost of Capital'!E9&amp;")"</f>
        <v>(Worksheet M, ln. 14, col. (d))</v>
      </c>
      <c r="F230" s="61"/>
      <c r="G230" s="61"/>
      <c r="H230" s="279"/>
      <c r="I230" s="279"/>
      <c r="J230" s="279"/>
      <c r="K230" s="61"/>
      <c r="L230" s="305">
        <f>+'OKT WS M - Cost of Capital'!E24</f>
        <v>0</v>
      </c>
      <c r="M230" s="279"/>
      <c r="N230" s="279"/>
    </row>
    <row r="231" spans="2:21" ht="16" thickBot="1">
      <c r="B231" s="64">
        <f t="shared" si="12"/>
        <v>138</v>
      </c>
      <c r="C231" s="65"/>
      <c r="D231" s="61" t="s">
        <v>364</v>
      </c>
      <c r="E231" s="53" t="str">
        <f>"(Worksheet M, ln. "&amp;'OKT WS M - Cost of Capital'!A24&amp;", col. "&amp;'OKT WS M - Cost of Capital'!F9&amp;")"</f>
        <v>(Worksheet M, ln. 14, col. (e))</v>
      </c>
      <c r="F231" s="61"/>
      <c r="G231" s="61"/>
      <c r="H231" s="279"/>
      <c r="I231" s="279"/>
      <c r="J231" s="279"/>
      <c r="K231" s="61"/>
      <c r="L231" s="381">
        <f>+'OKT WS M - Cost of Capital'!F24</f>
        <v>0</v>
      </c>
      <c r="M231" s="279"/>
      <c r="N231" s="279"/>
    </row>
    <row r="232" spans="2:21">
      <c r="B232" s="64">
        <f t="shared" si="12"/>
        <v>139</v>
      </c>
      <c r="C232" s="65"/>
      <c r="D232" s="53" t="s">
        <v>365</v>
      </c>
      <c r="E232" s="61" t="str">
        <f>"(ln "&amp;B228&amp;" - ln "&amp;B229&amp;" - ln "&amp;B230&amp;" - ln "&amp;B231&amp;")"</f>
        <v>(ln 135 - ln 136 - ln 137 - ln 138)</v>
      </c>
      <c r="F232" s="285"/>
      <c r="H232" s="60"/>
      <c r="I232" s="60"/>
      <c r="J232" s="60"/>
      <c r="K232" s="60"/>
      <c r="L232" s="289">
        <f>+L228-L229-L230-L231</f>
        <v>479137975.13761532</v>
      </c>
      <c r="M232" s="279"/>
      <c r="N232" s="279"/>
    </row>
    <row r="233" spans="2:21" ht="52.5" customHeight="1">
      <c r="B233" s="64"/>
      <c r="C233" s="65"/>
      <c r="D233" s="317"/>
      <c r="E233" s="61"/>
      <c r="F233" s="61"/>
      <c r="G233" s="396" t="s">
        <v>419</v>
      </c>
      <c r="H233" s="397"/>
      <c r="I233" s="61"/>
      <c r="J233" s="290" t="s">
        <v>283</v>
      </c>
      <c r="K233" s="61"/>
      <c r="L233" s="61"/>
      <c r="M233" s="279"/>
      <c r="N233" s="279"/>
    </row>
    <row r="234" spans="2:21" ht="16" thickBot="1">
      <c r="B234" s="64">
        <f>+B232+1</f>
        <v>140</v>
      </c>
      <c r="C234" s="65"/>
      <c r="D234" s="317"/>
      <c r="E234" s="282" t="s">
        <v>418</v>
      </c>
      <c r="G234" s="398"/>
      <c r="H234" s="397"/>
      <c r="I234" s="61"/>
      <c r="J234" s="282" t="s">
        <v>410</v>
      </c>
      <c r="K234" s="61"/>
      <c r="L234" s="282" t="s">
        <v>285</v>
      </c>
      <c r="M234" s="279"/>
      <c r="N234" s="279"/>
      <c r="O234" s="57"/>
      <c r="P234" s="57"/>
      <c r="Q234" s="57"/>
      <c r="R234" s="57"/>
      <c r="S234" s="57"/>
      <c r="T234" s="57"/>
      <c r="U234" s="57"/>
    </row>
    <row r="235" spans="2:21">
      <c r="B235" s="64">
        <f>+B234+1</f>
        <v>141</v>
      </c>
      <c r="C235" s="65"/>
      <c r="D235" s="61" t="str">
        <f>"Avg Long Term Debt (Worksheet M, ln. "&amp;'OKT WS M - Cost of Capital'!A43&amp;", col. (g))"</f>
        <v>Avg Long Term Debt (Worksheet M, ln. 28, col. (g))</v>
      </c>
      <c r="E235" s="299">
        <f>+'OKT WS M - Cost of Capital'!H43</f>
        <v>379450000</v>
      </c>
      <c r="G235" s="302">
        <f>IF($E$238&gt;0,E235/$E$238,0)</f>
        <v>0.44194655758972329</v>
      </c>
      <c r="H235" s="397"/>
      <c r="I235" s="399"/>
      <c r="J235" s="304">
        <f>+'OKT WS M - Cost of Capital'!E60</f>
        <v>4.114257704572407E-2</v>
      </c>
      <c r="L235" s="400">
        <f>J235*G235</f>
        <v>1.8182820295727719E-2</v>
      </c>
      <c r="M235" s="279"/>
      <c r="N235" s="279"/>
      <c r="O235" s="57"/>
      <c r="P235" s="57"/>
      <c r="Q235" s="57"/>
      <c r="R235" s="57"/>
      <c r="S235" s="57"/>
      <c r="T235" s="57"/>
      <c r="U235" s="57"/>
    </row>
    <row r="236" spans="2:21">
      <c r="B236" s="64">
        <f>+B235+1</f>
        <v>142</v>
      </c>
      <c r="C236" s="65"/>
      <c r="D236" s="61" t="str">
        <f>"Avg Preferred Stock (Worksheet M, ln. "&amp;'OKT WS M - Cost of Capital'!A24&amp;", col. "&amp;'OKT WS M - Cost of Capital'!D9&amp;")"</f>
        <v>Avg Preferred Stock (Worksheet M, ln. 14, col. (c))</v>
      </c>
      <c r="E236" s="299">
        <f>+'OKT WS M - Cost of Capital'!D24</f>
        <v>0</v>
      </c>
      <c r="G236" s="302">
        <f>IF($E$238&gt;0,E236/$E$238,0)</f>
        <v>0</v>
      </c>
      <c r="H236" s="397"/>
      <c r="I236" s="399"/>
      <c r="J236" s="304">
        <f>IF(E236&gt;0,L226/E236,0)</f>
        <v>0</v>
      </c>
      <c r="L236" s="400">
        <f>J236*G236</f>
        <v>0</v>
      </c>
      <c r="M236" s="279"/>
      <c r="N236" s="279"/>
      <c r="O236" s="57"/>
    </row>
    <row r="237" spans="2:21" ht="16" thickBot="1">
      <c r="B237" s="64">
        <f>+B236+1</f>
        <v>143</v>
      </c>
      <c r="C237" s="65"/>
      <c r="D237" s="317" t="str">
        <f>"Avg Common Stock (ln "&amp;B232&amp;")"</f>
        <v>Avg Common Stock (ln 139)</v>
      </c>
      <c r="E237" s="325">
        <f>+L232</f>
        <v>479137975.13761532</v>
      </c>
      <c r="G237" s="302">
        <f>IF($E$238&gt;0,E237/$E$238,0)</f>
        <v>0.55805344241027677</v>
      </c>
      <c r="H237" s="397"/>
      <c r="I237" s="399"/>
      <c r="J237" s="401">
        <v>0.105</v>
      </c>
      <c r="L237" s="402">
        <f>J237*G237</f>
        <v>5.8595611453079059E-2</v>
      </c>
      <c r="M237" s="279"/>
      <c r="N237" s="279"/>
      <c r="O237" s="57"/>
    </row>
    <row r="238" spans="2:21">
      <c r="B238" s="64">
        <f>+B237+1</f>
        <v>144</v>
      </c>
      <c r="C238" s="65"/>
      <c r="D238" s="317" t="str">
        <f>"  Total  (sum lns "&amp;B235&amp;" to "&amp;B237&amp;")"</f>
        <v xml:space="preserve">  Total  (sum lns 141 to 143)</v>
      </c>
      <c r="E238" s="299">
        <f>E237+E236+E235</f>
        <v>858587975.13761532</v>
      </c>
      <c r="G238" s="61" t="s">
        <v>253</v>
      </c>
      <c r="H238" s="397"/>
      <c r="I238" s="61"/>
      <c r="J238" s="279"/>
      <c r="K238" s="403" t="s">
        <v>207</v>
      </c>
      <c r="L238" s="404">
        <f>SUM(L235:L237)</f>
        <v>7.6778431748806775E-2</v>
      </c>
      <c r="M238" s="279"/>
      <c r="N238" s="279"/>
      <c r="P238" s="405"/>
    </row>
    <row r="239" spans="2:21">
      <c r="B239" s="406"/>
      <c r="C239" s="279"/>
      <c r="D239" s="279"/>
      <c r="E239" s="279"/>
      <c r="F239" s="279"/>
      <c r="G239" s="279"/>
      <c r="H239" s="279"/>
      <c r="I239" s="279"/>
      <c r="J239" s="407"/>
      <c r="K239" s="407"/>
      <c r="L239" s="407"/>
      <c r="M239" s="279"/>
      <c r="N239" s="279"/>
      <c r="O239" s="60"/>
      <c r="P239" s="60"/>
      <c r="Q239" s="60"/>
      <c r="R239" s="60"/>
      <c r="S239" s="60"/>
      <c r="T239" s="60"/>
      <c r="U239" s="60"/>
    </row>
    <row r="240" spans="2:21" ht="18">
      <c r="B240" s="64"/>
      <c r="C240" s="65"/>
      <c r="D240" s="391" t="s">
        <v>940</v>
      </c>
      <c r="E240" s="376"/>
      <c r="F240" s="61"/>
      <c r="H240" s="61"/>
      <c r="I240" s="61"/>
      <c r="J240" s="61"/>
      <c r="K240" s="314"/>
      <c r="L240" s="392"/>
      <c r="M240" s="279"/>
      <c r="N240" s="279"/>
    </row>
    <row r="241" spans="2:21" ht="16" thickBot="1">
      <c r="B241" s="64">
        <f>+B238+1</f>
        <v>145</v>
      </c>
      <c r="C241" s="65"/>
      <c r="D241" s="317" t="s">
        <v>939</v>
      </c>
      <c r="E241" s="61"/>
      <c r="F241" s="61"/>
      <c r="G241" s="61"/>
      <c r="H241" s="61"/>
      <c r="I241" s="61"/>
      <c r="J241" s="61"/>
      <c r="K241" s="61"/>
      <c r="L241" s="393" t="s">
        <v>282</v>
      </c>
      <c r="M241" s="279"/>
      <c r="N241" s="279"/>
    </row>
    <row r="242" spans="2:21">
      <c r="B242" s="64">
        <f t="shared" ref="B242:B249" si="13">+B241+1</f>
        <v>146</v>
      </c>
      <c r="C242" s="65"/>
      <c r="D242" s="61" t="s">
        <v>355</v>
      </c>
      <c r="E242" s="53" t="s">
        <v>945</v>
      </c>
      <c r="F242" s="61"/>
      <c r="G242" s="61"/>
      <c r="H242" s="61"/>
      <c r="I242" s="61"/>
      <c r="J242" s="61"/>
      <c r="K242" s="61"/>
      <c r="L242" s="408">
        <v>63793870.162</v>
      </c>
      <c r="M242" s="279"/>
      <c r="N242" s="279"/>
    </row>
    <row r="243" spans="2:21">
      <c r="B243" s="64">
        <f t="shared" si="13"/>
        <v>147</v>
      </c>
      <c r="C243" s="65"/>
      <c r="D243" s="61" t="s">
        <v>356</v>
      </c>
      <c r="E243" s="53" t="s">
        <v>946</v>
      </c>
      <c r="F243" s="61"/>
      <c r="G243" s="61"/>
      <c r="H243" s="61"/>
      <c r="I243" s="61"/>
      <c r="J243" s="61"/>
      <c r="K243" s="61"/>
      <c r="L243" s="409">
        <f>+'OKT WS M - Cost of Capital'!E87</f>
        <v>0</v>
      </c>
      <c r="M243" s="279"/>
      <c r="N243" s="279"/>
    </row>
    <row r="244" spans="2:21" ht="16" thickBot="1">
      <c r="B244" s="64">
        <f t="shared" si="13"/>
        <v>148</v>
      </c>
      <c r="C244" s="65"/>
      <c r="D244" s="394" t="s">
        <v>362</v>
      </c>
      <c r="E244" s="61"/>
      <c r="F244" s="61"/>
      <c r="G244" s="61"/>
      <c r="H244" s="279"/>
      <c r="I244" s="279"/>
      <c r="J244" s="279"/>
      <c r="K244" s="61"/>
      <c r="L244" s="282" t="s">
        <v>179</v>
      </c>
      <c r="M244" s="279"/>
      <c r="N244" s="279"/>
    </row>
    <row r="245" spans="2:21">
      <c r="B245" s="64">
        <f t="shared" si="13"/>
        <v>149</v>
      </c>
      <c r="C245" s="65"/>
      <c r="D245" s="61" t="s">
        <v>363</v>
      </c>
      <c r="E245" s="53" t="s">
        <v>941</v>
      </c>
      <c r="F245" s="61"/>
      <c r="G245" s="60"/>
      <c r="H245" s="279"/>
      <c r="I245" s="279"/>
      <c r="J245" s="279"/>
      <c r="K245" s="61"/>
      <c r="L245" s="408">
        <v>1303921777.8892305</v>
      </c>
      <c r="M245" s="279"/>
      <c r="N245" s="279"/>
    </row>
    <row r="246" spans="2:21">
      <c r="B246" s="64">
        <f t="shared" si="13"/>
        <v>150</v>
      </c>
      <c r="C246" s="65"/>
      <c r="D246" s="61" t="str">
        <f>"Less Preferred Stock (ln "&amp;B253&amp;")"</f>
        <v>Less Preferred Stock (ln 156)</v>
      </c>
      <c r="E246" s="53" t="s">
        <v>942</v>
      </c>
      <c r="F246" s="61"/>
      <c r="G246" s="61"/>
      <c r="H246" s="279"/>
      <c r="I246" s="279"/>
      <c r="J246" s="279"/>
      <c r="K246" s="61"/>
      <c r="L246" s="409">
        <f>+'OKT WS M - Cost of Capital'!D24</f>
        <v>0</v>
      </c>
      <c r="M246" s="279"/>
      <c r="N246" s="279"/>
    </row>
    <row r="247" spans="2:21">
      <c r="B247" s="64">
        <f t="shared" si="13"/>
        <v>151</v>
      </c>
      <c r="C247" s="65"/>
      <c r="D247" s="61" t="s">
        <v>52</v>
      </c>
      <c r="E247" s="53" t="s">
        <v>943</v>
      </c>
      <c r="F247" s="61"/>
      <c r="G247" s="61"/>
      <c r="H247" s="279"/>
      <c r="I247" s="279"/>
      <c r="J247" s="279"/>
      <c r="K247" s="61"/>
      <c r="L247" s="409">
        <f>+'OKT WS M - Cost of Capital'!E23</f>
        <v>0</v>
      </c>
      <c r="M247" s="279"/>
      <c r="N247" s="279"/>
    </row>
    <row r="248" spans="2:21" ht="16" thickBot="1">
      <c r="B248" s="64">
        <f t="shared" si="13"/>
        <v>152</v>
      </c>
      <c r="C248" s="65"/>
      <c r="D248" s="61" t="s">
        <v>364</v>
      </c>
      <c r="E248" s="53" t="s">
        <v>944</v>
      </c>
      <c r="F248" s="61"/>
      <c r="G248" s="61"/>
      <c r="H248" s="279"/>
      <c r="I248" s="279"/>
      <c r="J248" s="279"/>
      <c r="K248" s="61"/>
      <c r="L248" s="408">
        <v>1599992.6530769232</v>
      </c>
      <c r="M248" s="279"/>
      <c r="N248" s="279"/>
    </row>
    <row r="249" spans="2:21">
      <c r="B249" s="64">
        <f t="shared" si="13"/>
        <v>153</v>
      </c>
      <c r="C249" s="65"/>
      <c r="D249" s="53" t="s">
        <v>365</v>
      </c>
      <c r="E249" s="61" t="str">
        <f>"(ln "&amp;B245&amp;" - ln "&amp;B246&amp;" - ln "&amp;B247&amp;" - ln "&amp;B248&amp;")"</f>
        <v>(ln 149 - ln 150 - ln 151 - ln 152)</v>
      </c>
      <c r="F249" s="285"/>
      <c r="H249" s="60"/>
      <c r="I249" s="60"/>
      <c r="J249" s="60"/>
      <c r="K249" s="60"/>
      <c r="L249" s="410">
        <f>+L245-L246-L247-L248</f>
        <v>1302321785.2361536</v>
      </c>
      <c r="M249" s="279"/>
      <c r="N249" s="279"/>
    </row>
    <row r="250" spans="2:21" ht="52.5" customHeight="1">
      <c r="B250" s="64"/>
      <c r="C250" s="65"/>
      <c r="D250" s="317"/>
      <c r="E250" s="61"/>
      <c r="F250" s="61"/>
      <c r="G250" s="396" t="s">
        <v>419</v>
      </c>
      <c r="H250" s="397"/>
      <c r="I250" s="61"/>
      <c r="J250" s="290" t="s">
        <v>283</v>
      </c>
      <c r="K250" s="61"/>
      <c r="L250" s="61"/>
      <c r="M250" s="279"/>
      <c r="N250" s="279"/>
    </row>
    <row r="251" spans="2:21" ht="16" thickBot="1">
      <c r="B251" s="64">
        <f>+B249+1</f>
        <v>154</v>
      </c>
      <c r="C251" s="65"/>
      <c r="D251" s="317"/>
      <c r="E251" s="282" t="s">
        <v>418</v>
      </c>
      <c r="G251" s="398"/>
      <c r="H251" s="397"/>
      <c r="I251" s="61"/>
      <c r="J251" s="282" t="s">
        <v>410</v>
      </c>
      <c r="K251" s="61"/>
      <c r="L251" s="282" t="s">
        <v>285</v>
      </c>
      <c r="M251" s="279"/>
      <c r="N251" s="279"/>
      <c r="O251" s="57"/>
      <c r="P251" s="57"/>
      <c r="Q251" s="57"/>
      <c r="R251" s="57"/>
      <c r="S251" s="57"/>
      <c r="T251" s="57"/>
      <c r="U251" s="57"/>
    </row>
    <row r="252" spans="2:21">
      <c r="B252" s="64">
        <f>+B251+1</f>
        <v>155</v>
      </c>
      <c r="C252" s="65"/>
      <c r="D252" s="61" t="s">
        <v>989</v>
      </c>
      <c r="E252" s="408">
        <v>1388115602.796154</v>
      </c>
      <c r="G252" s="302">
        <f>IF($E$255&gt;0,E252/$E$255,0)</f>
        <v>0.51594421374413535</v>
      </c>
      <c r="H252" s="397"/>
      <c r="I252" s="399"/>
      <c r="J252" s="401">
        <v>4.5957173907919965E-2</v>
      </c>
      <c r="L252" s="400">
        <f>J252*G252</f>
        <v>2.371133795782426E-2</v>
      </c>
      <c r="M252" s="279"/>
      <c r="N252" s="279"/>
      <c r="O252" s="57"/>
      <c r="P252" s="57"/>
      <c r="Q252" s="57"/>
      <c r="R252" s="57"/>
      <c r="S252" s="57"/>
      <c r="T252" s="57"/>
      <c r="U252" s="57"/>
    </row>
    <row r="253" spans="2:21">
      <c r="B253" s="64">
        <f>+B252+1</f>
        <v>156</v>
      </c>
      <c r="C253" s="65"/>
      <c r="D253" s="61" t="s">
        <v>990</v>
      </c>
      <c r="E253" s="409">
        <f>+'OKT WS M - Cost of Capital'!D24</f>
        <v>0</v>
      </c>
      <c r="G253" s="302">
        <f>IF($E$255&gt;0,E253/$E$255,0)</f>
        <v>0</v>
      </c>
      <c r="H253" s="397"/>
      <c r="I253" s="399"/>
      <c r="J253" s="401">
        <v>0</v>
      </c>
      <c r="L253" s="400">
        <f>J253*G253</f>
        <v>0</v>
      </c>
      <c r="M253" s="279"/>
      <c r="N253" s="279"/>
      <c r="O253" s="57"/>
    </row>
    <row r="254" spans="2:21" ht="16" thickBot="1">
      <c r="B254" s="64">
        <f>+B253+1</f>
        <v>157</v>
      </c>
      <c r="C254" s="65"/>
      <c r="D254" s="317" t="str">
        <f>"Avg Common Stock (ln "&amp;B249&amp;")"</f>
        <v>Avg Common Stock (ln 153)</v>
      </c>
      <c r="E254" s="325">
        <f>+L249</f>
        <v>1302321785.2361536</v>
      </c>
      <c r="G254" s="302">
        <f>IF($E$255&gt;0,E254/$E$255,0)</f>
        <v>0.48405578625586471</v>
      </c>
      <c r="H254" s="397"/>
      <c r="I254" s="399"/>
      <c r="J254" s="401">
        <v>0.105</v>
      </c>
      <c r="L254" s="402">
        <f>J254*G254</f>
        <v>5.0825857556865792E-2</v>
      </c>
      <c r="M254" s="279"/>
      <c r="N254" s="279"/>
      <c r="O254" s="57"/>
    </row>
    <row r="255" spans="2:21">
      <c r="B255" s="64">
        <f>+B254+1</f>
        <v>158</v>
      </c>
      <c r="C255" s="65"/>
      <c r="D255" s="317" t="str">
        <f>"  Total  (sum lns "&amp;B252&amp;" to "&amp;B254&amp;")"</f>
        <v xml:space="preserve">  Total  (sum lns 155 to 157)</v>
      </c>
      <c r="E255" s="299">
        <f>E254+E253+E252</f>
        <v>2690437388.0323076</v>
      </c>
      <c r="G255" s="61" t="s">
        <v>253</v>
      </c>
      <c r="H255" s="397"/>
      <c r="I255" s="61"/>
      <c r="J255" s="279"/>
      <c r="K255" s="403" t="s">
        <v>207</v>
      </c>
      <c r="L255" s="404">
        <f>SUM(L252:L254)</f>
        <v>7.4537195514690055E-2</v>
      </c>
      <c r="M255" s="279"/>
      <c r="N255" s="279"/>
      <c r="P255" s="405"/>
    </row>
    <row r="256" spans="2:21">
      <c r="B256" s="406"/>
      <c r="C256" s="279"/>
      <c r="D256" s="279"/>
      <c r="E256" s="279"/>
      <c r="F256" s="279"/>
      <c r="G256" s="279"/>
      <c r="H256" s="279"/>
      <c r="I256" s="279"/>
      <c r="J256" s="407"/>
      <c r="K256" s="407"/>
      <c r="L256" s="407"/>
      <c r="M256" s="279"/>
      <c r="N256" s="279"/>
      <c r="O256" s="60"/>
      <c r="P256" s="60"/>
      <c r="Q256" s="60"/>
      <c r="R256" s="60"/>
      <c r="S256" s="60"/>
      <c r="T256" s="60"/>
      <c r="U256" s="60"/>
    </row>
    <row r="257" spans="2:21">
      <c r="B257" s="64"/>
      <c r="C257" s="279"/>
      <c r="D257" s="279"/>
      <c r="E257" s="279"/>
      <c r="F257" s="279"/>
      <c r="G257" s="279"/>
      <c r="H257" s="279"/>
      <c r="I257" s="279"/>
      <c r="J257" s="61"/>
      <c r="K257" s="60"/>
      <c r="L257" s="61"/>
      <c r="M257" s="279"/>
      <c r="N257" s="279"/>
      <c r="O257" s="60"/>
      <c r="P257" s="60"/>
      <c r="Q257" s="60"/>
      <c r="R257" s="60"/>
      <c r="S257" s="60"/>
      <c r="T257" s="60"/>
      <c r="U257" s="60"/>
    </row>
    <row r="258" spans="2:21">
      <c r="B258" s="64"/>
      <c r="C258" s="65"/>
      <c r="D258" s="273"/>
      <c r="E258" s="273"/>
      <c r="F258" s="100" t="str">
        <f>F196</f>
        <v xml:space="preserve">AEP West SPP Member Transmission Companies </v>
      </c>
      <c r="G258" s="274"/>
      <c r="H258" s="61"/>
      <c r="I258" s="61"/>
      <c r="J258" s="61"/>
      <c r="K258" s="60"/>
      <c r="L258" s="61"/>
      <c r="M258" s="279"/>
      <c r="N258" s="279"/>
      <c r="O258" s="60"/>
      <c r="P258" s="60"/>
      <c r="Q258" s="60"/>
      <c r="R258" s="60"/>
      <c r="S258" s="60"/>
      <c r="T258" s="60"/>
      <c r="U258" s="60"/>
    </row>
    <row r="259" spans="2:21">
      <c r="B259" s="64"/>
      <c r="C259" s="65"/>
      <c r="D259" s="411"/>
      <c r="E259" s="65"/>
      <c r="F259" s="100" t="str">
        <f>F197</f>
        <v>Transmission Cost of Service Formula Rate</v>
      </c>
      <c r="G259" s="61"/>
      <c r="H259" s="61"/>
      <c r="I259" s="61"/>
      <c r="J259" s="61"/>
      <c r="K259" s="60"/>
      <c r="L259" s="81"/>
      <c r="M259" s="279"/>
      <c r="N259" s="279"/>
      <c r="O259" s="60"/>
      <c r="P259" s="60"/>
      <c r="Q259" s="60"/>
      <c r="R259" s="60"/>
      <c r="S259" s="60"/>
      <c r="T259" s="60"/>
      <c r="U259" s="60"/>
    </row>
    <row r="260" spans="2:21">
      <c r="B260" s="64"/>
      <c r="C260" s="65"/>
      <c r="D260" s="411"/>
      <c r="E260" s="71"/>
      <c r="F260" s="100" t="str">
        <f>F198</f>
        <v>Utilizing Actual / Projected Cost Data for the 2019 Rate Year</v>
      </c>
      <c r="G260" s="61"/>
      <c r="H260" s="61"/>
      <c r="I260" s="61"/>
      <c r="J260" s="61"/>
      <c r="K260" s="60"/>
      <c r="L260" s="81"/>
      <c r="M260" s="279"/>
      <c r="N260" s="279"/>
      <c r="O260" s="60"/>
      <c r="P260" s="60"/>
      <c r="Q260" s="60"/>
      <c r="R260" s="60"/>
      <c r="S260" s="60"/>
      <c r="T260" s="60"/>
      <c r="U260" s="60"/>
    </row>
    <row r="261" spans="2:21">
      <c r="B261" s="64"/>
      <c r="C261" s="65"/>
      <c r="D261" s="411"/>
      <c r="E261" s="71"/>
      <c r="F261" s="100"/>
      <c r="G261" s="61"/>
      <c r="H261" s="61"/>
      <c r="I261" s="61"/>
      <c r="J261" s="61"/>
      <c r="K261" s="60"/>
      <c r="L261" s="81"/>
      <c r="M261" s="279"/>
      <c r="N261" s="279"/>
      <c r="O261" s="60"/>
      <c r="P261" s="60"/>
      <c r="Q261" s="60"/>
      <c r="R261" s="60"/>
      <c r="S261" s="60"/>
      <c r="T261" s="60"/>
      <c r="U261" s="60"/>
    </row>
    <row r="262" spans="2:21">
      <c r="B262" s="64"/>
      <c r="C262" s="65"/>
      <c r="D262" s="411"/>
      <c r="E262" s="71"/>
      <c r="F262" s="100" t="str">
        <f>F200</f>
        <v>AEP OKLAHOMA TRANSMISSION COMPANY, INC.</v>
      </c>
      <c r="G262" s="61"/>
      <c r="H262" s="61"/>
      <c r="I262" s="61"/>
      <c r="J262" s="61"/>
      <c r="K262" s="60"/>
      <c r="L262" s="81"/>
      <c r="M262" s="279"/>
      <c r="N262" s="279"/>
      <c r="O262" s="60"/>
      <c r="P262" s="60"/>
      <c r="Q262" s="60"/>
      <c r="R262" s="60"/>
      <c r="S262" s="60"/>
      <c r="T262" s="60"/>
      <c r="U262" s="60"/>
    </row>
    <row r="263" spans="2:21">
      <c r="B263" s="64"/>
      <c r="C263" s="65"/>
      <c r="D263" s="411"/>
      <c r="E263" s="71"/>
      <c r="F263" s="100"/>
      <c r="G263" s="61"/>
      <c r="H263" s="61"/>
      <c r="I263" s="61"/>
      <c r="J263" s="61"/>
      <c r="K263" s="60"/>
      <c r="L263" s="81"/>
      <c r="M263" s="279"/>
      <c r="N263" s="279"/>
      <c r="O263" s="60"/>
      <c r="P263" s="60"/>
      <c r="Q263" s="60"/>
      <c r="R263" s="60"/>
      <c r="S263" s="60"/>
      <c r="T263" s="60"/>
      <c r="U263" s="60"/>
    </row>
    <row r="264" spans="2:21">
      <c r="B264" s="412" t="s">
        <v>314</v>
      </c>
      <c r="C264" s="74"/>
      <c r="D264" s="57"/>
      <c r="E264" s="60"/>
      <c r="F264" s="412" t="s">
        <v>313</v>
      </c>
      <c r="G264" s="61"/>
      <c r="H264" s="61"/>
      <c r="I264" s="61"/>
      <c r="J264" s="61"/>
      <c r="K264" s="60"/>
      <c r="L264" s="61"/>
      <c r="M264" s="279"/>
      <c r="N264" s="279"/>
      <c r="O264" s="60"/>
      <c r="P264" s="60"/>
      <c r="Q264" s="60"/>
      <c r="R264" s="60"/>
      <c r="S264" s="60"/>
      <c r="T264" s="60"/>
      <c r="U264" s="60"/>
    </row>
    <row r="265" spans="2:21">
      <c r="C265" s="74"/>
      <c r="D265" s="53" t="s">
        <v>653</v>
      </c>
      <c r="L265" s="81"/>
      <c r="M265" s="279"/>
      <c r="N265" s="279"/>
      <c r="O265" s="60"/>
      <c r="P265" s="60"/>
      <c r="Q265" s="60"/>
      <c r="R265" s="60"/>
      <c r="S265" s="60"/>
      <c r="T265" s="60"/>
      <c r="U265" s="60"/>
    </row>
    <row r="266" spans="2:21">
      <c r="B266" s="53"/>
      <c r="D266" s="57"/>
      <c r="E266" s="60"/>
      <c r="F266" s="60"/>
      <c r="G266" s="61"/>
      <c r="H266" s="61"/>
      <c r="I266" s="61"/>
      <c r="J266" s="342"/>
      <c r="K266" s="279"/>
      <c r="L266" s="279"/>
      <c r="M266" s="279"/>
      <c r="N266" s="279"/>
      <c r="O266" s="60"/>
      <c r="P266" s="60"/>
      <c r="Q266" s="60"/>
      <c r="R266" s="60"/>
      <c r="S266" s="60"/>
      <c r="T266" s="60"/>
      <c r="U266" s="60"/>
    </row>
    <row r="267" spans="2:21">
      <c r="B267" s="346" t="s">
        <v>286</v>
      </c>
      <c r="C267" s="74"/>
      <c r="D267" s="57" t="s">
        <v>90</v>
      </c>
      <c r="E267" s="60"/>
      <c r="F267" s="60"/>
      <c r="G267" s="61"/>
      <c r="H267" s="61"/>
      <c r="I267" s="61"/>
      <c r="J267" s="342"/>
      <c r="K267" s="279"/>
      <c r="L267" s="279"/>
      <c r="M267" s="279"/>
      <c r="N267" s="279"/>
      <c r="O267" s="60"/>
      <c r="P267" s="60"/>
      <c r="Q267" s="60"/>
      <c r="R267" s="60"/>
      <c r="S267" s="60"/>
      <c r="T267" s="60"/>
      <c r="U267" s="60"/>
    </row>
    <row r="268" spans="2:21">
      <c r="B268" s="346"/>
      <c r="C268" s="100"/>
      <c r="D268" s="57" t="s">
        <v>91</v>
      </c>
      <c r="E268" s="60"/>
      <c r="F268" s="60"/>
      <c r="G268" s="60"/>
      <c r="H268" s="60"/>
      <c r="I268" s="60"/>
      <c r="J268" s="413"/>
      <c r="K268" s="279"/>
      <c r="L268" s="279"/>
      <c r="M268" s="279"/>
      <c r="N268" s="279"/>
      <c r="O268" s="60"/>
      <c r="P268" s="60"/>
      <c r="Q268" s="60"/>
      <c r="R268" s="60"/>
      <c r="S268" s="60"/>
      <c r="T268" s="60"/>
      <c r="U268" s="60"/>
    </row>
    <row r="269" spans="2:21">
      <c r="D269" s="57" t="s">
        <v>93</v>
      </c>
      <c r="E269" s="303"/>
      <c r="F269" s="303"/>
      <c r="G269" s="60"/>
      <c r="H269" s="60"/>
      <c r="I269" s="60"/>
      <c r="J269" s="413"/>
      <c r="K269" s="279"/>
      <c r="L269" s="279"/>
      <c r="M269" s="279"/>
      <c r="N269" s="279"/>
      <c r="O269" s="60"/>
      <c r="P269" s="60"/>
      <c r="Q269" s="60"/>
      <c r="R269" s="60"/>
      <c r="S269" s="60"/>
      <c r="T269" s="60"/>
      <c r="U269" s="60"/>
    </row>
    <row r="270" spans="2:21">
      <c r="D270" s="57" t="s">
        <v>94</v>
      </c>
      <c r="E270" s="60"/>
      <c r="F270" s="60"/>
      <c r="G270" s="60"/>
      <c r="H270" s="60"/>
      <c r="I270" s="60"/>
      <c r="J270" s="413"/>
      <c r="K270" s="279"/>
      <c r="L270" s="279"/>
      <c r="M270" s="279"/>
      <c r="N270" s="279"/>
      <c r="O270" s="60"/>
      <c r="P270" s="60"/>
      <c r="Q270" s="60"/>
      <c r="R270" s="60"/>
      <c r="S270" s="60"/>
      <c r="T270" s="60"/>
      <c r="U270" s="60"/>
    </row>
    <row r="271" spans="2:21">
      <c r="B271" s="64"/>
      <c r="C271" s="65"/>
      <c r="D271" s="57" t="s">
        <v>886</v>
      </c>
      <c r="E271" s="60"/>
      <c r="F271" s="60"/>
      <c r="G271" s="60"/>
      <c r="H271" s="60"/>
      <c r="I271" s="60"/>
      <c r="J271" s="413"/>
      <c r="K271" s="279"/>
      <c r="L271" s="279"/>
      <c r="M271" s="279"/>
      <c r="N271" s="279"/>
      <c r="O271" s="60"/>
      <c r="P271" s="60"/>
      <c r="Q271" s="60"/>
      <c r="R271" s="60"/>
      <c r="S271" s="60"/>
      <c r="T271" s="60"/>
      <c r="U271" s="60"/>
    </row>
    <row r="272" spans="2:21" ht="15" customHeight="1">
      <c r="B272" s="64"/>
      <c r="C272" s="65"/>
      <c r="D272" s="57"/>
      <c r="E272" s="60"/>
      <c r="F272" s="60"/>
      <c r="G272" s="60"/>
      <c r="H272" s="60"/>
      <c r="I272" s="60"/>
      <c r="J272" s="413"/>
      <c r="K272" s="279"/>
      <c r="L272" s="279"/>
      <c r="M272" s="279"/>
      <c r="N272" s="279"/>
      <c r="O272" s="60"/>
      <c r="P272" s="60"/>
      <c r="Q272" s="60"/>
      <c r="R272" s="60"/>
      <c r="S272" s="60"/>
      <c r="T272" s="60"/>
      <c r="U272" s="60"/>
    </row>
    <row r="273" spans="2:21">
      <c r="B273" s="64" t="s">
        <v>287</v>
      </c>
      <c r="C273" s="65"/>
      <c r="D273" s="407" t="s">
        <v>95</v>
      </c>
      <c r="E273" s="60"/>
      <c r="F273" s="60"/>
      <c r="G273" s="60"/>
      <c r="H273" s="60"/>
      <c r="I273" s="60"/>
      <c r="J273" s="413"/>
      <c r="K273" s="279"/>
      <c r="L273" s="279"/>
      <c r="M273" s="279"/>
      <c r="N273" s="279"/>
      <c r="O273" s="60"/>
      <c r="P273" s="60"/>
      <c r="Q273" s="60"/>
      <c r="R273" s="60"/>
      <c r="S273" s="60"/>
      <c r="T273" s="60"/>
      <c r="U273" s="60"/>
    </row>
    <row r="274" spans="2:21">
      <c r="B274" s="64"/>
      <c r="C274" s="65"/>
      <c r="D274" s="407"/>
      <c r="E274" s="60"/>
      <c r="F274" s="60"/>
      <c r="G274" s="60"/>
      <c r="H274" s="60"/>
      <c r="I274" s="60"/>
      <c r="J274" s="413"/>
      <c r="K274" s="279"/>
      <c r="L274" s="279"/>
      <c r="M274" s="279"/>
      <c r="N274" s="279"/>
      <c r="O274" s="60"/>
      <c r="P274" s="60"/>
      <c r="Q274" s="60"/>
      <c r="R274" s="60"/>
      <c r="S274" s="60"/>
      <c r="T274" s="60"/>
      <c r="U274" s="60"/>
    </row>
    <row r="275" spans="2:21">
      <c r="B275" s="64" t="s">
        <v>288</v>
      </c>
      <c r="C275" s="65"/>
      <c r="D275" s="407" t="s">
        <v>202</v>
      </c>
      <c r="E275" s="60"/>
      <c r="F275" s="60"/>
      <c r="G275" s="60"/>
      <c r="H275" s="60"/>
      <c r="I275" s="60"/>
      <c r="J275" s="413"/>
      <c r="K275" s="279"/>
      <c r="L275" s="279"/>
      <c r="M275" s="279"/>
      <c r="N275" s="279"/>
      <c r="O275" s="60"/>
      <c r="P275" s="60"/>
      <c r="Q275" s="60"/>
      <c r="R275" s="60"/>
      <c r="S275" s="60"/>
      <c r="T275" s="60"/>
      <c r="U275" s="60"/>
    </row>
    <row r="276" spans="2:21">
      <c r="B276" s="64"/>
      <c r="C276" s="65"/>
      <c r="D276" s="407" t="str">
        <f>"of the trued-up revenue requirement for each project, based on an FCR rate calculated from inputs on this TCOS. Line "&amp;B35&amp;" shows the incremental ARR for"</f>
        <v>of the trued-up revenue requirement for each project, based on an FCR rate calculated from inputs on this TCOS. Line 13 shows the incremental ARR for</v>
      </c>
      <c r="E276" s="60"/>
      <c r="F276" s="60"/>
      <c r="G276" s="60"/>
      <c r="H276" s="60"/>
      <c r="I276" s="60"/>
      <c r="J276" s="413"/>
      <c r="K276" s="279"/>
      <c r="L276" s="279"/>
      <c r="M276" s="279"/>
      <c r="N276" s="279"/>
      <c r="O276" s="60"/>
      <c r="P276" s="60"/>
      <c r="Q276" s="60"/>
      <c r="R276" s="60"/>
      <c r="S276" s="60"/>
      <c r="T276" s="60"/>
      <c r="U276" s="60"/>
    </row>
    <row r="277" spans="2:21">
      <c r="B277" s="64"/>
      <c r="C277" s="65"/>
      <c r="D277" s="407" t="s">
        <v>203</v>
      </c>
      <c r="E277" s="60"/>
      <c r="F277" s="60"/>
      <c r="G277" s="60"/>
      <c r="H277" s="60"/>
      <c r="I277" s="60"/>
      <c r="J277" s="413"/>
      <c r="K277" s="279"/>
      <c r="L277" s="279"/>
      <c r="M277" s="279"/>
      <c r="N277" s="279"/>
      <c r="O277" s="60"/>
      <c r="P277" s="57"/>
      <c r="Q277" s="57"/>
      <c r="R277" s="60"/>
      <c r="S277" s="60"/>
      <c r="T277" s="60"/>
      <c r="U277" s="60"/>
    </row>
    <row r="278" spans="2:21">
      <c r="B278" s="64"/>
      <c r="C278" s="65"/>
      <c r="D278" s="407"/>
      <c r="E278" s="60"/>
      <c r="F278" s="60"/>
      <c r="G278" s="60"/>
      <c r="H278" s="60"/>
      <c r="I278" s="60"/>
      <c r="J278" s="413"/>
      <c r="K278" s="279"/>
      <c r="L278" s="279"/>
      <c r="M278" s="279"/>
      <c r="N278" s="279"/>
      <c r="O278" s="60"/>
      <c r="P278" s="57"/>
      <c r="Q278" s="57"/>
      <c r="R278" s="60"/>
      <c r="S278" s="60"/>
      <c r="T278" s="60"/>
      <c r="U278" s="60"/>
    </row>
    <row r="279" spans="2:21">
      <c r="B279" s="64" t="s">
        <v>289</v>
      </c>
      <c r="C279" s="65"/>
      <c r="D279" s="1987" t="s">
        <v>887</v>
      </c>
      <c r="E279" s="1986"/>
      <c r="F279" s="1986"/>
      <c r="G279" s="1986"/>
      <c r="H279" s="1986"/>
      <c r="I279" s="1986"/>
      <c r="J279" s="1986"/>
      <c r="K279" s="279"/>
      <c r="L279" s="279"/>
      <c r="M279" s="279"/>
      <c r="N279" s="279"/>
      <c r="O279" s="60"/>
      <c r="P279" s="57"/>
      <c r="Q279" s="57"/>
      <c r="R279" s="60"/>
      <c r="S279" s="60"/>
      <c r="T279" s="60"/>
      <c r="U279" s="60"/>
    </row>
    <row r="280" spans="2:21">
      <c r="B280" s="64"/>
      <c r="C280" s="65"/>
      <c r="D280" s="1986"/>
      <c r="E280" s="1986"/>
      <c r="F280" s="1986"/>
      <c r="G280" s="1986"/>
      <c r="H280" s="1986"/>
      <c r="I280" s="1986"/>
      <c r="J280" s="1986"/>
      <c r="K280" s="279"/>
      <c r="L280" s="279"/>
      <c r="M280" s="279"/>
      <c r="N280" s="279"/>
      <c r="O280" s="60"/>
      <c r="P280" s="57"/>
      <c r="Q280" s="60"/>
      <c r="R280" s="60"/>
      <c r="S280" s="60"/>
      <c r="T280" s="60"/>
      <c r="U280" s="60"/>
    </row>
    <row r="281" spans="2:21">
      <c r="B281" s="64"/>
      <c r="C281" s="65"/>
      <c r="E281" s="60"/>
      <c r="F281" s="60"/>
      <c r="G281" s="60"/>
      <c r="H281" s="60"/>
      <c r="I281" s="60"/>
      <c r="J281" s="413"/>
      <c r="K281" s="279"/>
      <c r="L281" s="279"/>
      <c r="M281" s="279"/>
      <c r="N281" s="279"/>
      <c r="O281" s="60"/>
      <c r="P281" s="60"/>
      <c r="Q281" s="60"/>
      <c r="R281" s="60"/>
      <c r="S281" s="60"/>
      <c r="T281" s="60"/>
      <c r="U281" s="60"/>
    </row>
    <row r="282" spans="2:21">
      <c r="B282" s="64" t="s">
        <v>290</v>
      </c>
      <c r="C282" s="65"/>
      <c r="D282" s="57" t="s">
        <v>200</v>
      </c>
      <c r="E282" s="60"/>
      <c r="F282" s="60"/>
      <c r="G282" s="60"/>
      <c r="H282" s="60"/>
      <c r="I282" s="60"/>
      <c r="J282" s="413"/>
      <c r="K282" s="279"/>
      <c r="L282" s="279"/>
      <c r="M282" s="279"/>
      <c r="N282" s="279"/>
      <c r="O282" s="60"/>
      <c r="P282" s="60"/>
      <c r="Q282" s="60"/>
      <c r="R282" s="60"/>
      <c r="S282" s="60"/>
      <c r="T282" s="60"/>
      <c r="U282" s="60"/>
    </row>
    <row r="283" spans="2:21">
      <c r="B283" s="64"/>
      <c r="C283" s="65"/>
      <c r="D283" s="57" t="s">
        <v>416</v>
      </c>
      <c r="E283" s="60"/>
      <c r="F283" s="60"/>
      <c r="G283" s="60"/>
      <c r="H283" s="60"/>
      <c r="I283" s="60"/>
      <c r="J283" s="413"/>
      <c r="K283" s="279"/>
      <c r="L283" s="279"/>
      <c r="M283" s="279"/>
      <c r="N283" s="279"/>
      <c r="O283" s="60"/>
      <c r="P283" s="60"/>
      <c r="Q283" s="60"/>
      <c r="R283" s="60"/>
      <c r="S283" s="60"/>
      <c r="T283" s="60"/>
      <c r="U283" s="60"/>
    </row>
    <row r="284" spans="2:21">
      <c r="C284" s="65"/>
      <c r="D284" s="57" t="s">
        <v>624</v>
      </c>
      <c r="E284" s="60"/>
      <c r="F284" s="60"/>
      <c r="G284" s="60"/>
      <c r="H284" s="60"/>
      <c r="I284" s="60"/>
      <c r="J284" s="413"/>
      <c r="K284" s="279"/>
      <c r="L284" s="279"/>
      <c r="M284" s="279"/>
      <c r="N284" s="279"/>
      <c r="O284" s="60"/>
      <c r="P284" s="60"/>
      <c r="Q284" s="60"/>
      <c r="R284" s="60"/>
      <c r="S284" s="60"/>
      <c r="T284" s="60"/>
      <c r="U284" s="60"/>
    </row>
    <row r="285" spans="2:21">
      <c r="B285" s="64"/>
      <c r="C285" s="65"/>
      <c r="D285" s="57" t="s">
        <v>201</v>
      </c>
      <c r="E285" s="60"/>
      <c r="F285" s="60"/>
      <c r="G285" s="60"/>
      <c r="H285" s="60"/>
      <c r="I285" s="60"/>
      <c r="J285" s="413"/>
      <c r="K285" s="279"/>
      <c r="L285" s="279"/>
      <c r="M285" s="279"/>
      <c r="N285" s="279"/>
      <c r="O285" s="60"/>
      <c r="P285" s="60"/>
      <c r="Q285" s="60"/>
      <c r="R285" s="60"/>
      <c r="S285" s="60"/>
      <c r="T285" s="60"/>
      <c r="U285" s="60"/>
    </row>
    <row r="286" spans="2:21">
      <c r="B286" s="64"/>
      <c r="C286" s="65"/>
      <c r="D286" s="57"/>
      <c r="E286" s="60"/>
      <c r="F286" s="60"/>
      <c r="G286" s="60"/>
      <c r="H286" s="60"/>
      <c r="I286" s="60"/>
      <c r="J286" s="413"/>
      <c r="K286" s="279"/>
      <c r="L286" s="279"/>
      <c r="M286" s="279"/>
      <c r="N286" s="279"/>
      <c r="O286" s="60"/>
      <c r="P286" s="60"/>
      <c r="Q286" s="60"/>
      <c r="R286" s="60"/>
      <c r="S286" s="60"/>
      <c r="T286" s="60"/>
      <c r="U286" s="60"/>
    </row>
    <row r="287" spans="2:21">
      <c r="B287" s="64" t="s">
        <v>291</v>
      </c>
      <c r="C287" s="65"/>
      <c r="D287" s="57" t="s">
        <v>135</v>
      </c>
      <c r="E287" s="60"/>
      <c r="F287" s="60"/>
      <c r="G287" s="60"/>
      <c r="H287" s="60"/>
      <c r="I287" s="60"/>
      <c r="J287" s="413"/>
      <c r="K287" s="279"/>
      <c r="L287" s="279"/>
      <c r="M287" s="279"/>
      <c r="N287" s="279"/>
      <c r="O287" s="60"/>
      <c r="P287" s="60"/>
      <c r="Q287" s="60"/>
      <c r="R287" s="60"/>
      <c r="S287" s="60"/>
      <c r="T287" s="60"/>
      <c r="U287" s="60"/>
    </row>
    <row r="288" spans="2:21">
      <c r="B288" s="64"/>
      <c r="C288" s="65"/>
      <c r="D288" s="57"/>
      <c r="E288" s="60"/>
      <c r="F288" s="60"/>
      <c r="G288" s="60"/>
      <c r="H288" s="60"/>
      <c r="I288" s="60"/>
      <c r="J288" s="413"/>
      <c r="K288" s="279"/>
      <c r="L288" s="279"/>
      <c r="M288" s="279"/>
      <c r="N288" s="279"/>
      <c r="O288" s="60"/>
      <c r="P288" s="60"/>
      <c r="Q288" s="60"/>
      <c r="R288" s="60"/>
      <c r="S288" s="60"/>
      <c r="T288" s="60"/>
      <c r="U288" s="60"/>
    </row>
    <row r="289" spans="2:21">
      <c r="B289" s="64" t="s">
        <v>292</v>
      </c>
      <c r="C289" s="65"/>
      <c r="D289" s="57" t="str">
        <f>"Cash Working Capital assigned to transmission is one-eighth of O&amp;M allocated to transmission on line "&amp;B134&amp;"."</f>
        <v>Cash Working Capital assigned to transmission is one-eighth of O&amp;M allocated to transmission on line 70.</v>
      </c>
      <c r="E289" s="60"/>
      <c r="F289" s="60"/>
      <c r="G289" s="60"/>
      <c r="H289" s="60"/>
      <c r="I289" s="60"/>
      <c r="J289" s="413"/>
      <c r="K289" s="279"/>
      <c r="L289" s="279"/>
      <c r="M289" s="279"/>
      <c r="N289" s="279"/>
      <c r="O289" s="60"/>
      <c r="P289" s="60"/>
      <c r="Q289" s="60"/>
      <c r="R289" s="60"/>
      <c r="S289" s="60"/>
      <c r="T289" s="60"/>
      <c r="U289" s="60"/>
    </row>
    <row r="290" spans="2:21">
      <c r="B290" s="64"/>
      <c r="C290" s="65"/>
      <c r="D290" s="57"/>
      <c r="E290" s="60"/>
      <c r="F290" s="60"/>
      <c r="G290" s="60"/>
      <c r="H290" s="60"/>
      <c r="I290" s="60"/>
      <c r="J290" s="413"/>
      <c r="K290" s="279"/>
      <c r="L290" s="279"/>
      <c r="M290" s="279"/>
      <c r="N290" s="279"/>
      <c r="O290" s="60"/>
      <c r="P290" s="60"/>
      <c r="Q290" s="60"/>
      <c r="R290" s="60"/>
      <c r="S290" s="60"/>
      <c r="T290" s="60"/>
      <c r="U290" s="60"/>
    </row>
    <row r="291" spans="2:21">
      <c r="B291" s="346" t="s">
        <v>293</v>
      </c>
      <c r="C291" s="100"/>
      <c r="D291" s="53" t="str">
        <f>"Consistent with Paragraph 657 of Order 2003-A, the amount on line "&amp;B116&amp;" is equal to the balance of IPP System Upgrade Credits owed to transmission customers that"</f>
        <v>Consistent with Paragraph 657 of Order 2003-A, the amount on line  is equal to the balance of IPP System Upgrade Credits owed to transmission customers that</v>
      </c>
      <c r="J291" s="342"/>
      <c r="K291" s="279"/>
      <c r="L291" s="279"/>
      <c r="M291" s="279"/>
      <c r="N291" s="279"/>
      <c r="O291" s="60"/>
      <c r="P291" s="60"/>
      <c r="Q291" s="60"/>
      <c r="R291" s="60"/>
      <c r="S291" s="60"/>
      <c r="T291" s="60"/>
      <c r="U291" s="60"/>
    </row>
    <row r="292" spans="2:21">
      <c r="D292" s="53" t="s">
        <v>354</v>
      </c>
      <c r="J292" s="342"/>
      <c r="K292" s="279"/>
      <c r="L292" s="279"/>
      <c r="M292" s="279"/>
      <c r="N292" s="279"/>
      <c r="O292" s="60"/>
      <c r="P292" s="60"/>
      <c r="Q292" s="60"/>
      <c r="R292" s="60"/>
      <c r="S292" s="60"/>
      <c r="T292" s="60"/>
      <c r="U292" s="60"/>
    </row>
    <row r="293" spans="2:21">
      <c r="D293" s="53" t="str">
        <f>"expense is included on line "&amp;B186&amp;"."</f>
        <v>expense is included on line 113.</v>
      </c>
      <c r="J293" s="342"/>
      <c r="K293" s="279"/>
      <c r="L293" s="279"/>
      <c r="M293" s="279"/>
      <c r="N293" s="279"/>
      <c r="O293" s="60"/>
      <c r="P293" s="60"/>
      <c r="Q293" s="60"/>
      <c r="R293" s="60"/>
      <c r="S293" s="60"/>
      <c r="T293" s="60"/>
      <c r="U293" s="60"/>
    </row>
    <row r="294" spans="2:21">
      <c r="J294" s="342"/>
      <c r="K294" s="279"/>
      <c r="L294" s="279"/>
      <c r="M294" s="279"/>
      <c r="N294" s="279"/>
      <c r="O294" s="60"/>
      <c r="P294" s="60"/>
      <c r="Q294" s="60"/>
      <c r="R294" s="60"/>
      <c r="S294" s="60"/>
      <c r="T294" s="60"/>
      <c r="U294" s="60"/>
    </row>
    <row r="295" spans="2:21" ht="20.25" customHeight="1">
      <c r="B295" s="346" t="s">
        <v>294</v>
      </c>
      <c r="D295" s="1984" t="str">
        <f>"Line "&amp;B129&amp;" Removes the expense booked to transmission accounts included in the development of OATT ancillary services rates, including all of Account No. 561."</f>
        <v>Line 65 Removes the expense booked to transmission accounts included in the development of OATT ancillary services rates, including all of Account No. 561.</v>
      </c>
      <c r="E295" s="1984"/>
      <c r="F295" s="1984"/>
      <c r="G295" s="1984"/>
      <c r="H295" s="1984"/>
      <c r="I295" s="1984"/>
      <c r="J295" s="1984"/>
      <c r="K295" s="279"/>
      <c r="L295" s="279"/>
      <c r="M295" s="279"/>
      <c r="N295" s="279"/>
      <c r="O295" s="60"/>
      <c r="P295" s="60"/>
      <c r="Q295" s="60"/>
      <c r="R295" s="60"/>
      <c r="S295" s="60"/>
      <c r="T295" s="60"/>
      <c r="U295" s="60"/>
    </row>
    <row r="296" spans="2:21">
      <c r="B296" s="346"/>
      <c r="D296" s="57"/>
      <c r="J296" s="342"/>
      <c r="K296" s="279"/>
      <c r="L296" s="279"/>
      <c r="M296" s="279"/>
      <c r="N296" s="279"/>
      <c r="O296" s="60"/>
      <c r="P296" s="60"/>
      <c r="Q296" s="60"/>
      <c r="R296" s="60"/>
      <c r="S296" s="60"/>
      <c r="T296" s="60"/>
      <c r="U296" s="60"/>
    </row>
    <row r="297" spans="2:21">
      <c r="B297" s="346" t="s">
        <v>295</v>
      </c>
      <c r="D297" s="53" t="s">
        <v>136</v>
      </c>
      <c r="J297" s="342"/>
      <c r="K297" s="279"/>
      <c r="L297" s="279"/>
      <c r="M297" s="279"/>
      <c r="N297" s="279"/>
      <c r="O297" s="60"/>
      <c r="P297" s="60"/>
      <c r="Q297" s="60"/>
      <c r="R297" s="60"/>
      <c r="S297" s="60"/>
      <c r="T297" s="60"/>
      <c r="U297" s="60"/>
    </row>
    <row r="298" spans="2:21">
      <c r="B298" s="346"/>
      <c r="J298" s="342"/>
      <c r="K298" s="279"/>
      <c r="L298" s="279"/>
      <c r="M298" s="279"/>
      <c r="N298" s="279"/>
      <c r="O298" s="60"/>
      <c r="P298" s="60"/>
      <c r="Q298" s="60"/>
      <c r="R298" s="60"/>
      <c r="S298" s="60"/>
      <c r="T298" s="60"/>
      <c r="U298" s="60"/>
    </row>
    <row r="299" spans="2:21">
      <c r="B299" s="64" t="s">
        <v>296</v>
      </c>
      <c r="D299" s="53" t="s">
        <v>673</v>
      </c>
      <c r="J299" s="342"/>
      <c r="K299" s="279"/>
      <c r="L299" s="279"/>
      <c r="M299" s="279"/>
      <c r="N299" s="279"/>
      <c r="O299" s="60"/>
      <c r="P299" s="60"/>
      <c r="Q299" s="60"/>
      <c r="R299" s="60"/>
      <c r="S299" s="60"/>
      <c r="T299" s="60"/>
      <c r="U299" s="60"/>
    </row>
    <row r="300" spans="2:21">
      <c r="B300" s="346"/>
      <c r="J300" s="342"/>
      <c r="K300" s="279"/>
      <c r="L300" s="279"/>
      <c r="M300" s="279"/>
      <c r="N300" s="279"/>
      <c r="O300" s="60"/>
      <c r="P300" s="60"/>
      <c r="Q300" s="60"/>
      <c r="R300" s="60"/>
      <c r="S300" s="60"/>
      <c r="T300" s="60"/>
      <c r="U300" s="60"/>
    </row>
    <row r="301" spans="2:21">
      <c r="B301" s="64" t="s">
        <v>297</v>
      </c>
      <c r="C301" s="65"/>
      <c r="D301" s="57" t="s">
        <v>888</v>
      </c>
      <c r="E301" s="60"/>
      <c r="F301" s="60"/>
      <c r="G301" s="60"/>
      <c r="H301" s="60"/>
      <c r="I301" s="60"/>
      <c r="J301" s="413"/>
      <c r="K301" s="279"/>
      <c r="L301" s="279"/>
      <c r="M301" s="279"/>
      <c r="N301" s="279"/>
      <c r="O301" s="60"/>
      <c r="P301" s="60"/>
      <c r="Q301" s="60"/>
      <c r="R301" s="60"/>
      <c r="S301" s="60"/>
      <c r="T301" s="60"/>
      <c r="U301" s="60"/>
    </row>
    <row r="302" spans="2:21">
      <c r="B302" s="64"/>
      <c r="C302" s="65"/>
      <c r="D302" s="57" t="s">
        <v>137</v>
      </c>
      <c r="E302" s="60"/>
      <c r="F302" s="60"/>
      <c r="G302" s="60"/>
      <c r="H302" s="60"/>
      <c r="I302" s="60"/>
      <c r="J302" s="413"/>
      <c r="K302" s="279"/>
      <c r="L302" s="279"/>
      <c r="M302" s="279"/>
      <c r="N302" s="279"/>
      <c r="O302" s="60"/>
      <c r="P302" s="60"/>
      <c r="Q302" s="60"/>
      <c r="R302" s="60"/>
      <c r="S302" s="60"/>
      <c r="T302" s="60"/>
      <c r="U302" s="60"/>
    </row>
    <row r="303" spans="2:21">
      <c r="B303" s="64"/>
      <c r="C303" s="65"/>
      <c r="D303" s="57" t="s">
        <v>138</v>
      </c>
      <c r="E303" s="60"/>
      <c r="F303" s="60"/>
      <c r="G303" s="60"/>
      <c r="H303" s="60"/>
      <c r="I303" s="60"/>
      <c r="J303" s="413"/>
      <c r="K303" s="279"/>
      <c r="L303" s="279"/>
      <c r="M303" s="279"/>
      <c r="N303" s="279"/>
      <c r="O303" s="60"/>
      <c r="P303" s="60"/>
      <c r="Q303" s="60"/>
      <c r="R303" s="60"/>
      <c r="S303" s="60"/>
      <c r="T303" s="60"/>
      <c r="U303" s="60"/>
    </row>
    <row r="304" spans="2:21">
      <c r="B304" s="64"/>
      <c r="C304" s="65"/>
      <c r="D304" s="53" t="s">
        <v>889</v>
      </c>
      <c r="E304" s="60"/>
      <c r="F304" s="60"/>
      <c r="G304" s="60"/>
      <c r="H304" s="60"/>
      <c r="I304" s="60"/>
      <c r="J304" s="413"/>
      <c r="K304" s="279"/>
      <c r="L304" s="279"/>
      <c r="M304" s="279"/>
      <c r="N304" s="279"/>
      <c r="O304" s="60"/>
      <c r="P304" s="60"/>
      <c r="Q304" s="60"/>
      <c r="R304" s="60"/>
      <c r="S304" s="60"/>
      <c r="T304" s="60"/>
      <c r="U304" s="60"/>
    </row>
    <row r="305" spans="2:21">
      <c r="B305" s="64"/>
      <c r="C305" s="65"/>
      <c r="E305" s="60"/>
      <c r="F305" s="60"/>
      <c r="G305" s="60"/>
      <c r="H305" s="60"/>
      <c r="I305" s="60"/>
      <c r="J305" s="413"/>
      <c r="K305" s="279"/>
      <c r="L305" s="279"/>
      <c r="M305" s="279"/>
      <c r="N305" s="279"/>
      <c r="O305" s="60"/>
      <c r="P305" s="60"/>
      <c r="Q305" s="60"/>
      <c r="R305" s="60"/>
      <c r="S305" s="60"/>
      <c r="T305" s="60"/>
      <c r="U305" s="60"/>
    </row>
    <row r="306" spans="2:21" ht="62.25" customHeight="1">
      <c r="B306" s="414" t="s">
        <v>298</v>
      </c>
      <c r="C306" s="65"/>
      <c r="D306" s="1981" t="s">
        <v>668</v>
      </c>
      <c r="E306" s="1981"/>
      <c r="F306" s="1981"/>
      <c r="G306" s="1981"/>
      <c r="H306" s="1981"/>
      <c r="I306" s="1981"/>
      <c r="J306" s="1981"/>
      <c r="K306" s="279"/>
      <c r="L306" s="279"/>
      <c r="M306" s="279"/>
      <c r="N306" s="279"/>
      <c r="O306" s="60"/>
      <c r="P306" s="60"/>
      <c r="Q306" s="60"/>
      <c r="R306" s="60"/>
      <c r="S306" s="60"/>
      <c r="T306" s="60"/>
      <c r="U306" s="60"/>
    </row>
    <row r="307" spans="2:21">
      <c r="B307" s="100"/>
      <c r="C307" s="65"/>
      <c r="E307" s="60"/>
      <c r="F307" s="60"/>
      <c r="G307" s="60"/>
      <c r="H307" s="60"/>
      <c r="I307" s="60"/>
      <c r="J307" s="413"/>
      <c r="K307" s="279"/>
      <c r="L307" s="279"/>
      <c r="M307" s="279"/>
      <c r="N307" s="279"/>
      <c r="O307" s="60"/>
      <c r="P307" s="60"/>
      <c r="Q307" s="60"/>
      <c r="R307" s="60"/>
      <c r="S307" s="60"/>
      <c r="T307" s="60"/>
      <c r="U307" s="60"/>
    </row>
    <row r="308" spans="2:21" ht="30.75" customHeight="1">
      <c r="B308" s="414" t="s">
        <v>366</v>
      </c>
      <c r="C308" s="65"/>
      <c r="D308" s="1983" t="s">
        <v>625</v>
      </c>
      <c r="E308" s="1983"/>
      <c r="F308" s="1983"/>
      <c r="G308" s="1983"/>
      <c r="H308" s="1983"/>
      <c r="I308" s="1983"/>
      <c r="J308" s="1983"/>
      <c r="K308" s="279"/>
      <c r="L308" s="279"/>
      <c r="M308" s="279"/>
      <c r="N308" s="279"/>
      <c r="O308" s="60"/>
      <c r="P308" s="60"/>
      <c r="Q308" s="60"/>
      <c r="R308" s="60"/>
      <c r="S308" s="60"/>
      <c r="T308" s="60"/>
      <c r="U308" s="60"/>
    </row>
    <row r="309" spans="2:21">
      <c r="C309" s="65"/>
      <c r="D309" s="164"/>
      <c r="E309" s="164"/>
      <c r="F309" s="164"/>
      <c r="G309" s="164"/>
      <c r="H309" s="164"/>
      <c r="I309" s="164"/>
      <c r="J309" s="164"/>
      <c r="K309" s="279"/>
      <c r="L309" s="279"/>
      <c r="M309" s="279"/>
      <c r="N309" s="279"/>
      <c r="O309" s="60"/>
      <c r="P309" s="60"/>
      <c r="Q309" s="60"/>
      <c r="R309" s="60"/>
      <c r="S309" s="60"/>
      <c r="T309" s="60"/>
      <c r="U309" s="60"/>
    </row>
    <row r="310" spans="2:21">
      <c r="B310" s="64" t="s">
        <v>387</v>
      </c>
      <c r="C310" s="65"/>
      <c r="D310" s="57" t="s">
        <v>408</v>
      </c>
      <c r="E310" s="60"/>
      <c r="F310" s="60"/>
      <c r="G310" s="60"/>
      <c r="H310" s="60"/>
      <c r="I310" s="60"/>
      <c r="J310" s="413"/>
      <c r="K310" s="279"/>
      <c r="L310" s="279"/>
      <c r="M310" s="279"/>
      <c r="N310" s="279"/>
      <c r="O310" s="60"/>
      <c r="P310" s="60"/>
      <c r="Q310" s="60"/>
      <c r="R310" s="60"/>
      <c r="S310" s="60"/>
      <c r="T310" s="60"/>
      <c r="U310" s="60"/>
    </row>
    <row r="311" spans="2:21">
      <c r="B311" s="64"/>
      <c r="C311" s="65"/>
      <c r="D311" s="57" t="s">
        <v>2</v>
      </c>
      <c r="E311" s="60"/>
      <c r="F311" s="60"/>
      <c r="G311" s="60"/>
      <c r="H311" s="60"/>
      <c r="I311" s="60"/>
      <c r="J311" s="413"/>
      <c r="K311" s="279"/>
      <c r="L311" s="279"/>
      <c r="M311" s="279"/>
      <c r="N311" s="279"/>
      <c r="O311" s="60"/>
      <c r="P311" s="60"/>
      <c r="Q311" s="60"/>
      <c r="R311" s="60"/>
      <c r="S311" s="60"/>
      <c r="T311" s="60"/>
      <c r="U311" s="60"/>
    </row>
    <row r="312" spans="2:21">
      <c r="B312" s="64"/>
      <c r="C312" s="65"/>
      <c r="D312" s="57" t="s">
        <v>3</v>
      </c>
      <c r="E312" s="60"/>
      <c r="F312" s="60"/>
      <c r="G312" s="60"/>
      <c r="H312" s="60"/>
      <c r="I312" s="60"/>
      <c r="J312" s="413"/>
      <c r="K312" s="279"/>
      <c r="L312" s="279"/>
      <c r="M312" s="279"/>
      <c r="N312" s="279"/>
      <c r="O312" s="60"/>
      <c r="P312" s="60"/>
      <c r="Q312" s="60"/>
      <c r="R312" s="60"/>
      <c r="S312" s="60"/>
      <c r="T312" s="60"/>
      <c r="U312" s="60"/>
    </row>
    <row r="313" spans="2:21">
      <c r="B313" s="64"/>
      <c r="C313" s="65"/>
      <c r="D313" s="57" t="s">
        <v>4</v>
      </c>
      <c r="E313" s="60"/>
      <c r="F313" s="60"/>
      <c r="G313" s="60"/>
      <c r="H313" s="60"/>
      <c r="I313" s="60"/>
      <c r="J313" s="413"/>
      <c r="K313" s="279"/>
      <c r="L313" s="279"/>
      <c r="M313" s="279"/>
      <c r="N313" s="279"/>
      <c r="O313" s="60"/>
      <c r="P313" s="60"/>
      <c r="Q313" s="60"/>
      <c r="R313" s="60"/>
      <c r="S313" s="60"/>
      <c r="T313" s="60"/>
      <c r="U313" s="60"/>
    </row>
    <row r="314" spans="2:21">
      <c r="B314" s="64"/>
      <c r="C314" s="65"/>
      <c r="D314" s="57" t="s">
        <v>5</v>
      </c>
      <c r="E314" s="60"/>
      <c r="F314" s="60"/>
      <c r="G314" s="60"/>
      <c r="H314" s="60"/>
      <c r="I314" s="60"/>
      <c r="J314" s="413"/>
      <c r="K314" s="279"/>
      <c r="L314" s="279"/>
      <c r="M314" s="279"/>
      <c r="N314" s="279"/>
      <c r="O314" s="60"/>
      <c r="P314" s="60"/>
      <c r="Q314" s="60"/>
      <c r="R314" s="60"/>
      <c r="S314" s="60"/>
      <c r="T314" s="60"/>
      <c r="U314" s="60"/>
    </row>
    <row r="315" spans="2:21">
      <c r="B315" s="64"/>
      <c r="C315" s="65"/>
      <c r="D315" s="57" t="str">
        <f>"(ln "&amp;B168&amp;") multiplied by (1/1-T) .  If the applicable tax rates are zero enter 0."</f>
        <v>(ln 99) multiplied by (1/1-T) .  If the applicable tax rates are zero enter 0.</v>
      </c>
      <c r="E315" s="60"/>
      <c r="F315" s="60"/>
      <c r="G315" s="60"/>
      <c r="H315" s="60"/>
      <c r="I315" s="60"/>
      <c r="J315" s="413"/>
      <c r="K315" s="279"/>
      <c r="L315" s="279"/>
      <c r="M315" s="279"/>
      <c r="N315" s="279"/>
      <c r="O315" s="60"/>
      <c r="P315" s="60"/>
      <c r="Q315" s="60"/>
      <c r="R315" s="60"/>
      <c r="S315" s="60"/>
      <c r="T315" s="60"/>
      <c r="U315" s="60"/>
    </row>
    <row r="316" spans="2:21">
      <c r="B316" s="64" t="s">
        <v>253</v>
      </c>
      <c r="C316" s="65"/>
      <c r="D316" s="57" t="s">
        <v>6</v>
      </c>
      <c r="E316" s="60" t="s">
        <v>7</v>
      </c>
      <c r="F316" s="401">
        <v>0.21</v>
      </c>
      <c r="G316" s="60"/>
      <c r="I316" s="60"/>
      <c r="J316" s="413"/>
      <c r="K316" s="279"/>
      <c r="L316" s="279"/>
      <c r="M316" s="279"/>
      <c r="N316" s="279"/>
      <c r="O316" s="60"/>
      <c r="P316" s="60"/>
      <c r="Q316" s="60"/>
      <c r="R316" s="60"/>
      <c r="S316" s="60"/>
      <c r="T316" s="60"/>
      <c r="U316" s="60"/>
    </row>
    <row r="317" spans="2:21">
      <c r="B317" s="64"/>
      <c r="C317" s="65"/>
      <c r="D317" s="57"/>
      <c r="E317" s="60" t="s">
        <v>8</v>
      </c>
      <c r="F317" s="303">
        <f>+'OKT WS K State Taxes'!F29</f>
        <v>5.6599999999999998E-2</v>
      </c>
      <c r="G317" s="60" t="s">
        <v>117</v>
      </c>
      <c r="I317" s="60"/>
      <c r="J317" s="413"/>
      <c r="K317" s="279"/>
      <c r="L317" s="279"/>
      <c r="M317" s="279"/>
      <c r="N317" s="279"/>
      <c r="O317" s="60"/>
      <c r="P317" s="60"/>
      <c r="Q317" s="60"/>
      <c r="R317" s="60"/>
      <c r="S317" s="60"/>
      <c r="T317" s="60"/>
      <c r="U317" s="60"/>
    </row>
    <row r="318" spans="2:21">
      <c r="B318" s="64"/>
      <c r="C318" s="65"/>
      <c r="D318" s="57"/>
      <c r="E318" s="60" t="s">
        <v>9</v>
      </c>
      <c r="F318" s="401">
        <v>0</v>
      </c>
      <c r="G318" s="60" t="s">
        <v>10</v>
      </c>
      <c r="I318" s="60"/>
      <c r="J318" s="413"/>
      <c r="K318" s="279"/>
      <c r="L318" s="279"/>
      <c r="M318" s="279"/>
      <c r="N318" s="279"/>
      <c r="O318" s="60"/>
      <c r="P318" s="60"/>
      <c r="Q318" s="60"/>
      <c r="R318" s="60"/>
      <c r="S318" s="60"/>
      <c r="T318" s="60"/>
      <c r="U318" s="60"/>
    </row>
    <row r="319" spans="2:21" ht="39.75" customHeight="1">
      <c r="B319" s="64"/>
      <c r="C319" s="65"/>
      <c r="D319" s="1982" t="s">
        <v>899</v>
      </c>
      <c r="E319" s="1982"/>
      <c r="F319" s="1982"/>
      <c r="G319" s="1982"/>
      <c r="H319" s="1982"/>
      <c r="I319" s="1982"/>
      <c r="J319" s="1982"/>
      <c r="K319" s="415"/>
      <c r="L319" s="415"/>
      <c r="M319" s="279"/>
      <c r="N319" s="279"/>
      <c r="O319" s="60"/>
      <c r="P319" s="60"/>
      <c r="Q319" s="60"/>
      <c r="R319" s="60"/>
      <c r="S319" s="60"/>
      <c r="T319" s="60"/>
      <c r="U319" s="60"/>
    </row>
    <row r="320" spans="2:21">
      <c r="B320" s="64"/>
      <c r="C320" s="65"/>
      <c r="D320" s="57"/>
      <c r="E320" s="60"/>
      <c r="F320" s="303"/>
      <c r="G320" s="60"/>
      <c r="I320" s="60"/>
      <c r="J320" s="413"/>
      <c r="K320" s="279"/>
      <c r="L320" s="279"/>
      <c r="M320" s="279"/>
      <c r="N320" s="279"/>
      <c r="O320" s="60"/>
      <c r="P320" s="60"/>
      <c r="Q320" s="60"/>
      <c r="R320" s="60"/>
      <c r="S320" s="60"/>
      <c r="T320" s="60"/>
      <c r="U320" s="60"/>
    </row>
    <row r="321" spans="2:21">
      <c r="B321" s="64"/>
      <c r="C321" s="65"/>
      <c r="D321" s="57"/>
      <c r="E321" s="60"/>
      <c r="F321" s="303"/>
      <c r="G321" s="60"/>
      <c r="I321" s="60"/>
      <c r="J321" s="413"/>
      <c r="K321" s="279"/>
      <c r="L321" s="279"/>
      <c r="M321" s="279"/>
      <c r="N321" s="279"/>
      <c r="O321" s="60"/>
      <c r="P321" s="60"/>
      <c r="Q321" s="60"/>
      <c r="R321" s="60"/>
      <c r="S321" s="60"/>
      <c r="T321" s="60"/>
      <c r="U321" s="60"/>
    </row>
    <row r="322" spans="2:21">
      <c r="B322" s="64" t="s">
        <v>11</v>
      </c>
      <c r="C322" s="65"/>
      <c r="D322" s="57" t="s">
        <v>669</v>
      </c>
      <c r="E322" s="60"/>
      <c r="F322" s="60"/>
      <c r="G322" s="303"/>
      <c r="H322" s="60"/>
      <c r="I322" s="60"/>
      <c r="J322" s="413"/>
      <c r="K322" s="279"/>
      <c r="L322" s="279"/>
      <c r="M322" s="279"/>
      <c r="N322" s="279"/>
      <c r="O322" s="60"/>
      <c r="P322" s="60"/>
      <c r="Q322" s="60"/>
      <c r="R322" s="60"/>
      <c r="S322" s="60"/>
      <c r="T322" s="60"/>
      <c r="U322" s="60"/>
    </row>
    <row r="323" spans="2:21">
      <c r="B323" s="64"/>
      <c r="C323" s="65"/>
      <c r="D323" s="57" t="s">
        <v>0</v>
      </c>
      <c r="E323" s="60"/>
      <c r="F323" s="60"/>
      <c r="G323" s="303"/>
      <c r="H323" s="60"/>
      <c r="I323" s="60"/>
      <c r="J323" s="413"/>
      <c r="K323" s="279"/>
      <c r="L323" s="279"/>
      <c r="M323" s="279"/>
      <c r="N323" s="279"/>
      <c r="O323" s="60"/>
      <c r="P323" s="60"/>
      <c r="Q323" s="60"/>
      <c r="R323" s="60"/>
      <c r="S323" s="60"/>
      <c r="T323" s="60"/>
      <c r="U323" s="60"/>
    </row>
    <row r="324" spans="2:21">
      <c r="B324" s="64"/>
      <c r="C324" s="65"/>
      <c r="D324" s="57"/>
      <c r="E324" s="60"/>
      <c r="F324" s="60"/>
      <c r="G324" s="303"/>
      <c r="H324" s="60"/>
      <c r="I324" s="60"/>
      <c r="J324" s="413"/>
      <c r="K324" s="279"/>
      <c r="L324" s="279"/>
      <c r="M324" s="279"/>
      <c r="N324" s="279"/>
      <c r="O324" s="60"/>
      <c r="P324" s="60"/>
      <c r="Q324" s="60"/>
      <c r="R324" s="60"/>
      <c r="S324" s="60"/>
      <c r="T324" s="60"/>
      <c r="U324" s="60"/>
    </row>
    <row r="325" spans="2:21" ht="18.75" customHeight="1">
      <c r="B325" s="416" t="s">
        <v>12</v>
      </c>
      <c r="C325" s="417"/>
      <c r="D325" s="1981" t="s">
        <v>918</v>
      </c>
      <c r="E325" s="1981"/>
      <c r="F325" s="1981"/>
      <c r="G325" s="1981"/>
      <c r="H325" s="1981"/>
      <c r="I325" s="1981"/>
      <c r="J325" s="1981"/>
      <c r="K325" s="279"/>
      <c r="L325" s="279"/>
      <c r="M325" s="279"/>
      <c r="N325" s="279"/>
      <c r="O325" s="60"/>
      <c r="P325" s="60"/>
      <c r="Q325" s="60"/>
      <c r="R325" s="60"/>
      <c r="S325" s="60"/>
      <c r="T325" s="60"/>
      <c r="U325" s="60"/>
    </row>
    <row r="326" spans="2:21">
      <c r="B326" s="53"/>
      <c r="D326" s="57"/>
      <c r="J326" s="342"/>
      <c r="K326" s="279"/>
      <c r="L326" s="279"/>
      <c r="M326" s="279"/>
      <c r="N326" s="279"/>
      <c r="O326" s="60"/>
      <c r="P326" s="60"/>
      <c r="Q326" s="60"/>
      <c r="R326" s="60"/>
      <c r="S326" s="60"/>
      <c r="T326" s="60"/>
      <c r="U326" s="60"/>
    </row>
    <row r="327" spans="2:21">
      <c r="B327" s="64" t="s">
        <v>13</v>
      </c>
      <c r="C327" s="65"/>
      <c r="D327" s="57" t="s">
        <v>531</v>
      </c>
      <c r="J327" s="342"/>
      <c r="K327" s="279"/>
      <c r="L327" s="279"/>
      <c r="M327" s="279"/>
      <c r="N327" s="279"/>
      <c r="O327" s="60"/>
      <c r="P327" s="60"/>
      <c r="Q327" s="60"/>
      <c r="R327" s="60"/>
      <c r="S327" s="60"/>
      <c r="T327" s="60"/>
      <c r="U327" s="60"/>
    </row>
    <row r="328" spans="2:21">
      <c r="B328" s="64"/>
      <c r="C328" s="65"/>
      <c r="D328" s="57"/>
      <c r="E328" s="60"/>
      <c r="F328" s="60"/>
      <c r="G328" s="60"/>
      <c r="H328" s="60"/>
      <c r="I328" s="60"/>
      <c r="J328" s="413"/>
      <c r="K328" s="279"/>
      <c r="L328" s="279"/>
      <c r="M328" s="279"/>
      <c r="N328" s="279"/>
      <c r="O328" s="60"/>
      <c r="P328" s="60"/>
      <c r="Q328" s="60"/>
      <c r="R328" s="60"/>
      <c r="S328" s="60"/>
      <c r="T328" s="60"/>
      <c r="U328" s="60"/>
    </row>
    <row r="329" spans="2:21">
      <c r="B329" s="64" t="s">
        <v>14</v>
      </c>
      <c r="C329" s="65"/>
      <c r="D329" s="57" t="s">
        <v>140</v>
      </c>
      <c r="E329" s="60"/>
      <c r="F329" s="60"/>
      <c r="G329" s="60"/>
      <c r="H329" s="60"/>
      <c r="I329" s="60"/>
      <c r="J329" s="413"/>
      <c r="K329" s="279"/>
      <c r="L329" s="279"/>
      <c r="M329" s="279"/>
      <c r="N329" s="279"/>
      <c r="O329" s="60"/>
      <c r="P329" s="60"/>
      <c r="Q329" s="60"/>
      <c r="R329" s="60"/>
      <c r="S329" s="60"/>
      <c r="T329" s="60"/>
      <c r="U329" s="60"/>
    </row>
    <row r="330" spans="2:21">
      <c r="B330" s="64"/>
      <c r="C330" s="65"/>
      <c r="D330" s="57"/>
      <c r="E330" s="60"/>
      <c r="F330" s="60"/>
      <c r="G330" s="60"/>
      <c r="H330" s="60"/>
      <c r="I330" s="60"/>
      <c r="J330" s="413"/>
      <c r="K330" s="279"/>
      <c r="L330" s="279"/>
      <c r="M330" s="279"/>
      <c r="N330" s="279"/>
      <c r="O330" s="60"/>
      <c r="P330" s="60"/>
      <c r="Q330" s="60"/>
      <c r="R330" s="60"/>
      <c r="S330" s="60"/>
      <c r="T330" s="60"/>
      <c r="U330" s="60"/>
    </row>
    <row r="331" spans="2:21">
      <c r="B331" s="346" t="s">
        <v>55</v>
      </c>
      <c r="C331" s="100"/>
      <c r="D331" s="57" t="str">
        <f>"Long Term Debt cost rate = Long-Term Interest (ln "&amp;B225&amp;") / Long Term Debt (ln "&amp;B235&amp;").  Preferred Stock cost rate = preferred dividends (ln "&amp;B226&amp;") / preferred outstanding (ln "&amp;B236&amp;")."</f>
        <v>Long Term Debt cost rate = Long-Term Interest (ln 132) / Long Term Debt (ln 141).  Preferred Stock cost rate = preferred dividends (ln 133) / preferred outstanding (ln 142).</v>
      </c>
      <c r="J331" s="342"/>
      <c r="M331" s="279"/>
      <c r="N331" s="279"/>
      <c r="O331" s="60"/>
      <c r="P331" s="60"/>
      <c r="Q331" s="60"/>
      <c r="R331" s="60"/>
      <c r="S331" s="60"/>
      <c r="T331" s="60"/>
      <c r="U331" s="60"/>
    </row>
    <row r="332" spans="2:21">
      <c r="D332" s="57" t="s">
        <v>1069</v>
      </c>
      <c r="J332" s="342"/>
      <c r="M332" s="279"/>
      <c r="N332" s="279"/>
      <c r="O332" s="60"/>
      <c r="P332" s="60"/>
      <c r="Q332" s="60"/>
      <c r="R332" s="60"/>
      <c r="S332" s="60"/>
      <c r="T332" s="60"/>
      <c r="U332" s="60"/>
    </row>
    <row r="333" spans="2:21">
      <c r="D333" s="57" t="s">
        <v>1070</v>
      </c>
      <c r="J333" s="342"/>
      <c r="M333" s="279"/>
      <c r="N333" s="279"/>
      <c r="O333" s="60"/>
      <c r="P333" s="60"/>
      <c r="Q333" s="60"/>
      <c r="R333" s="60"/>
      <c r="S333" s="60"/>
      <c r="T333" s="60"/>
      <c r="U333" s="60"/>
    </row>
    <row r="334" spans="2:21">
      <c r="D334" s="57" t="s">
        <v>988</v>
      </c>
      <c r="J334" s="342"/>
      <c r="M334" s="279"/>
      <c r="N334" s="279"/>
      <c r="O334" s="60"/>
      <c r="P334" s="60"/>
      <c r="Q334" s="60"/>
      <c r="R334" s="60"/>
      <c r="S334" s="60"/>
      <c r="T334" s="60"/>
      <c r="U334" s="60"/>
    </row>
    <row r="335" spans="2:21" ht="45" customHeight="1">
      <c r="D335" s="1984" t="s">
        <v>609</v>
      </c>
      <c r="E335" s="1984"/>
      <c r="F335" s="1984"/>
      <c r="G335" s="1984"/>
      <c r="H335" s="1984"/>
      <c r="I335" s="1984"/>
      <c r="J335" s="1984"/>
      <c r="M335" s="279"/>
      <c r="N335" s="279"/>
      <c r="O335" s="60"/>
      <c r="P335" s="60"/>
      <c r="Q335" s="60"/>
      <c r="R335" s="60"/>
      <c r="S335" s="60"/>
      <c r="T335" s="60"/>
      <c r="U335" s="60"/>
    </row>
    <row r="336" spans="2:21">
      <c r="D336" s="57"/>
      <c r="J336" s="342"/>
      <c r="M336" s="279"/>
      <c r="N336" s="279"/>
      <c r="O336" s="60"/>
      <c r="P336" s="60"/>
      <c r="Q336" s="60"/>
      <c r="R336" s="60"/>
      <c r="S336" s="60"/>
      <c r="T336" s="60"/>
      <c r="U336" s="60"/>
    </row>
    <row r="337" spans="2:21">
      <c r="B337" s="64" t="s">
        <v>655</v>
      </c>
      <c r="C337" s="65"/>
      <c r="D337" s="47" t="s">
        <v>743</v>
      </c>
      <c r="M337" s="279"/>
      <c r="N337" s="279"/>
      <c r="O337" s="60"/>
      <c r="P337" s="60"/>
      <c r="Q337" s="60"/>
      <c r="R337" s="60"/>
      <c r="S337" s="60"/>
      <c r="T337" s="60"/>
      <c r="U337" s="60"/>
    </row>
    <row r="338" spans="2:21">
      <c r="B338" s="64"/>
      <c r="C338" s="65"/>
      <c r="M338" s="279"/>
      <c r="N338" s="279"/>
      <c r="O338" s="60"/>
      <c r="P338" s="60"/>
      <c r="Q338" s="60"/>
      <c r="R338" s="60"/>
      <c r="S338" s="60"/>
      <c r="T338" s="60"/>
      <c r="U338" s="60"/>
    </row>
    <row r="339" spans="2:21" ht="33.75" customHeight="1">
      <c r="B339" s="416" t="s">
        <v>744</v>
      </c>
      <c r="C339" s="417"/>
      <c r="D339" s="1975" t="s">
        <v>774</v>
      </c>
      <c r="E339" s="1975"/>
      <c r="F339" s="1975"/>
      <c r="G339" s="1975"/>
      <c r="H339" s="1975"/>
      <c r="I339" s="1975"/>
      <c r="J339" s="1975"/>
      <c r="M339" s="279"/>
      <c r="N339" s="279"/>
      <c r="O339" s="60"/>
      <c r="P339" s="60"/>
      <c r="Q339" s="60"/>
      <c r="R339" s="60"/>
      <c r="S339" s="60"/>
      <c r="T339" s="60"/>
      <c r="U339" s="60"/>
    </row>
    <row r="340" spans="2:21" ht="51" customHeight="1">
      <c r="B340" s="416" t="s">
        <v>922</v>
      </c>
      <c r="C340" s="417"/>
      <c r="D340" s="1974" t="s">
        <v>923</v>
      </c>
      <c r="E340" s="1974"/>
      <c r="F340" s="1974"/>
      <c r="G340" s="1974"/>
      <c r="H340" s="1974"/>
      <c r="I340" s="1974"/>
      <c r="J340" s="1974"/>
      <c r="M340" s="279"/>
      <c r="N340" s="279"/>
      <c r="O340" s="60"/>
      <c r="P340" s="60"/>
      <c r="Q340" s="60"/>
      <c r="R340" s="60"/>
      <c r="S340" s="60"/>
      <c r="T340" s="60"/>
      <c r="U340" s="60"/>
    </row>
    <row r="341" spans="2:21" ht="52.5" customHeight="1">
      <c r="B341" s="416"/>
      <c r="C341" s="417"/>
      <c r="D341" s="1974"/>
      <c r="E341" s="1974"/>
      <c r="F341" s="1974"/>
      <c r="G341" s="1974"/>
      <c r="H341" s="1974"/>
      <c r="I341" s="1974"/>
      <c r="J341" s="1974"/>
      <c r="M341" s="279"/>
      <c r="N341" s="279"/>
      <c r="O341" s="60"/>
      <c r="P341" s="60"/>
      <c r="Q341" s="60"/>
      <c r="R341" s="60"/>
      <c r="S341" s="60"/>
      <c r="T341" s="60"/>
      <c r="U341" s="60"/>
    </row>
    <row r="342" spans="2:21">
      <c r="B342" s="279"/>
      <c r="C342" s="279"/>
      <c r="D342" s="279"/>
      <c r="E342" s="279"/>
      <c r="F342" s="279"/>
      <c r="G342" s="279"/>
      <c r="H342" s="279"/>
      <c r="M342" s="279"/>
      <c r="N342" s="279"/>
      <c r="O342" s="60"/>
      <c r="P342" s="60"/>
      <c r="Q342" s="60"/>
      <c r="R342" s="60"/>
      <c r="S342" s="60"/>
      <c r="T342" s="60"/>
      <c r="U342" s="60"/>
    </row>
    <row r="343" spans="2:21">
      <c r="B343" s="279"/>
      <c r="C343" s="279"/>
      <c r="D343" s="279"/>
      <c r="E343" s="279"/>
      <c r="F343" s="279"/>
      <c r="G343" s="279"/>
      <c r="H343" s="279"/>
      <c r="M343" s="279"/>
      <c r="N343" s="279"/>
      <c r="O343" s="60"/>
      <c r="P343" s="60"/>
      <c r="Q343" s="60"/>
      <c r="R343" s="60"/>
      <c r="S343" s="60"/>
      <c r="T343" s="60"/>
      <c r="U343" s="60"/>
    </row>
    <row r="344" spans="2:21">
      <c r="B344" s="279"/>
      <c r="C344" s="279"/>
      <c r="D344" s="279"/>
      <c r="E344" s="279"/>
      <c r="F344" s="279"/>
      <c r="G344" s="279"/>
      <c r="H344" s="279"/>
      <c r="M344" s="279"/>
      <c r="N344" s="279"/>
      <c r="O344" s="60"/>
      <c r="P344" s="60"/>
      <c r="Q344" s="60"/>
      <c r="R344" s="60"/>
      <c r="S344" s="60"/>
      <c r="T344" s="60"/>
      <c r="U344" s="60"/>
    </row>
    <row r="345" spans="2:21">
      <c r="B345" s="279"/>
      <c r="C345" s="279"/>
      <c r="D345" s="279"/>
      <c r="E345" s="279"/>
      <c r="F345" s="279"/>
      <c r="G345" s="279"/>
      <c r="H345" s="279"/>
      <c r="M345" s="279"/>
      <c r="N345" s="279"/>
      <c r="O345" s="60"/>
      <c r="P345" s="60"/>
      <c r="Q345" s="60"/>
      <c r="R345" s="60"/>
      <c r="S345" s="60"/>
      <c r="T345" s="60"/>
      <c r="U345" s="60"/>
    </row>
    <row r="346" spans="2:21">
      <c r="B346" s="279"/>
      <c r="C346" s="279"/>
      <c r="D346" s="279"/>
      <c r="E346" s="279"/>
      <c r="F346" s="279"/>
      <c r="G346" s="279"/>
      <c r="H346" s="279"/>
      <c r="M346" s="279"/>
      <c r="N346" s="279"/>
      <c r="O346" s="60"/>
      <c r="P346" s="60"/>
      <c r="Q346" s="60"/>
      <c r="R346" s="60"/>
      <c r="S346" s="60"/>
      <c r="T346" s="60"/>
      <c r="U346" s="60"/>
    </row>
    <row r="347" spans="2:21">
      <c r="B347" s="279"/>
      <c r="C347" s="279"/>
      <c r="D347" s="279"/>
      <c r="E347" s="279"/>
      <c r="F347" s="279"/>
      <c r="G347" s="279"/>
      <c r="H347" s="279"/>
      <c r="M347" s="279"/>
      <c r="N347" s="279"/>
      <c r="O347" s="60"/>
      <c r="P347" s="60"/>
      <c r="Q347" s="60"/>
      <c r="R347" s="60"/>
      <c r="S347" s="60"/>
      <c r="T347" s="60"/>
      <c r="U347" s="60"/>
    </row>
    <row r="348" spans="2:21">
      <c r="B348" s="279"/>
      <c r="C348" s="279"/>
      <c r="D348" s="279"/>
      <c r="E348" s="279"/>
      <c r="F348" s="279"/>
      <c r="G348" s="279"/>
      <c r="H348" s="279"/>
      <c r="M348" s="279"/>
      <c r="N348" s="279"/>
      <c r="O348" s="60"/>
      <c r="P348" s="60"/>
      <c r="Q348" s="60"/>
      <c r="R348" s="60"/>
      <c r="S348" s="60"/>
      <c r="T348" s="60"/>
      <c r="U348" s="60"/>
    </row>
    <row r="349" spans="2:21">
      <c r="B349" s="279"/>
      <c r="C349" s="279"/>
      <c r="D349" s="279"/>
      <c r="E349" s="279"/>
      <c r="F349" s="279"/>
      <c r="G349" s="279"/>
      <c r="H349" s="279"/>
      <c r="M349" s="279"/>
      <c r="N349" s="279"/>
      <c r="O349" s="60"/>
      <c r="P349" s="60"/>
      <c r="Q349" s="60"/>
      <c r="R349" s="60"/>
      <c r="S349" s="60"/>
      <c r="T349" s="60"/>
      <c r="U349" s="60"/>
    </row>
    <row r="350" spans="2:21">
      <c r="B350" s="64"/>
      <c r="C350" s="65"/>
      <c r="M350" s="279"/>
      <c r="N350" s="279"/>
      <c r="O350" s="60"/>
      <c r="P350" s="60"/>
      <c r="Q350" s="60"/>
      <c r="R350" s="60"/>
      <c r="S350" s="60"/>
      <c r="T350" s="60"/>
      <c r="U350" s="60"/>
    </row>
    <row r="351" spans="2:21">
      <c r="B351" s="53"/>
      <c r="M351" s="279"/>
      <c r="N351" s="279"/>
      <c r="O351" s="60"/>
      <c r="P351" s="60"/>
      <c r="Q351" s="60"/>
      <c r="R351" s="60"/>
      <c r="S351" s="60"/>
      <c r="T351" s="60"/>
      <c r="U351" s="60"/>
    </row>
    <row r="352" spans="2:21">
      <c r="B352" s="53"/>
      <c r="M352" s="279"/>
      <c r="N352" s="279"/>
      <c r="O352" s="60"/>
      <c r="P352" s="60"/>
      <c r="Q352" s="60"/>
      <c r="R352" s="60"/>
      <c r="S352" s="60"/>
      <c r="T352" s="60"/>
      <c r="U352" s="60"/>
    </row>
    <row r="353" spans="2:21">
      <c r="B353" s="53"/>
      <c r="M353" s="279"/>
      <c r="N353" s="279"/>
      <c r="O353" s="60"/>
      <c r="P353" s="60"/>
      <c r="Q353" s="60"/>
      <c r="R353" s="60"/>
      <c r="S353" s="60"/>
      <c r="T353" s="60"/>
      <c r="U353" s="60"/>
    </row>
    <row r="354" spans="2:21">
      <c r="B354" s="53"/>
      <c r="H354" s="60"/>
      <c r="I354" s="60"/>
      <c r="J354" s="60"/>
      <c r="K354" s="60"/>
      <c r="L354" s="60"/>
      <c r="M354" s="279"/>
      <c r="N354" s="279"/>
      <c r="O354" s="60"/>
      <c r="P354" s="60"/>
      <c r="Q354" s="60"/>
      <c r="R354" s="60"/>
      <c r="S354" s="60"/>
      <c r="T354" s="60"/>
      <c r="U354" s="60"/>
    </row>
    <row r="355" spans="2:21">
      <c r="B355" s="53"/>
      <c r="H355" s="60"/>
      <c r="K355" s="60"/>
      <c r="L355" s="60"/>
      <c r="M355" s="279"/>
      <c r="N355" s="279"/>
      <c r="O355" s="60"/>
      <c r="P355" s="60"/>
      <c r="Q355" s="60"/>
      <c r="R355" s="60"/>
      <c r="S355" s="60"/>
      <c r="T355" s="60"/>
      <c r="U355" s="60"/>
    </row>
    <row r="356" spans="2:21">
      <c r="B356" s="53"/>
      <c r="H356" s="60"/>
      <c r="I356" s="60"/>
      <c r="J356" s="418"/>
      <c r="K356" s="60"/>
      <c r="L356" s="60"/>
      <c r="M356" s="279"/>
      <c r="N356" s="279"/>
      <c r="O356" s="60"/>
      <c r="P356" s="60"/>
      <c r="Q356" s="60"/>
      <c r="R356" s="60"/>
      <c r="S356" s="60"/>
      <c r="T356" s="60"/>
      <c r="U356" s="60"/>
    </row>
    <row r="357" spans="2:21">
      <c r="B357" s="53"/>
      <c r="H357" s="60"/>
      <c r="I357" s="65"/>
      <c r="J357" s="418"/>
      <c r="K357" s="60"/>
      <c r="L357" s="60"/>
      <c r="M357" s="279"/>
      <c r="N357" s="279"/>
      <c r="O357" s="60"/>
      <c r="P357" s="60"/>
      <c r="Q357" s="60"/>
      <c r="R357" s="60"/>
      <c r="S357" s="60"/>
      <c r="T357" s="60"/>
      <c r="U357" s="60"/>
    </row>
    <row r="358" spans="2:21">
      <c r="B358" s="53"/>
      <c r="H358" s="60"/>
      <c r="I358" s="65"/>
      <c r="J358" s="418"/>
      <c r="K358" s="60"/>
      <c r="L358" s="60"/>
      <c r="M358" s="279"/>
      <c r="N358" s="279"/>
      <c r="O358" s="60"/>
      <c r="P358" s="60"/>
      <c r="Q358" s="60"/>
      <c r="R358" s="60"/>
      <c r="S358" s="60"/>
      <c r="T358" s="60"/>
      <c r="U358" s="60"/>
    </row>
    <row r="359" spans="2:21">
      <c r="B359" s="53"/>
      <c r="H359" s="60"/>
      <c r="I359" s="65"/>
      <c r="J359" s="418"/>
      <c r="K359" s="60"/>
      <c r="L359" s="60"/>
      <c r="M359" s="279"/>
      <c r="N359" s="279"/>
      <c r="O359" s="60"/>
      <c r="P359" s="60"/>
      <c r="Q359" s="60"/>
      <c r="R359" s="60"/>
      <c r="S359" s="60"/>
      <c r="T359" s="60"/>
      <c r="U359" s="60"/>
    </row>
    <row r="360" spans="2:21">
      <c r="B360" s="107"/>
      <c r="C360" s="60"/>
      <c r="D360" s="60"/>
      <c r="E360" s="60"/>
      <c r="F360" s="60"/>
      <c r="G360" s="60"/>
      <c r="H360" s="60"/>
      <c r="I360" s="65"/>
      <c r="J360" s="419"/>
      <c r="K360" s="60"/>
      <c r="L360" s="60"/>
      <c r="M360" s="279"/>
      <c r="N360" s="279"/>
      <c r="O360" s="60"/>
      <c r="P360" s="60"/>
      <c r="Q360" s="60"/>
      <c r="R360" s="60"/>
      <c r="S360" s="60"/>
      <c r="T360" s="60"/>
      <c r="U360" s="60"/>
    </row>
    <row r="361" spans="2:21">
      <c r="B361" s="107"/>
      <c r="C361" s="60"/>
      <c r="D361" s="60"/>
      <c r="E361" s="60"/>
      <c r="F361" s="60"/>
      <c r="G361" s="60"/>
      <c r="H361" s="60"/>
      <c r="I361" s="65"/>
      <c r="J361" s="418"/>
      <c r="K361" s="60"/>
      <c r="L361" s="60"/>
      <c r="M361" s="279"/>
      <c r="N361" s="279"/>
      <c r="O361" s="60"/>
      <c r="P361" s="60"/>
      <c r="Q361" s="60"/>
      <c r="R361" s="60"/>
      <c r="S361" s="60"/>
      <c r="T361" s="60"/>
      <c r="U361" s="60"/>
    </row>
    <row r="362" spans="2:21">
      <c r="B362" s="107"/>
      <c r="C362" s="60"/>
      <c r="D362" s="60"/>
      <c r="E362" s="60"/>
      <c r="F362" s="60"/>
      <c r="G362" s="60"/>
      <c r="H362" s="60"/>
      <c r="I362" s="65"/>
      <c r="J362" s="418"/>
      <c r="K362" s="60"/>
      <c r="L362" s="60"/>
      <c r="M362" s="279"/>
      <c r="N362" s="279"/>
      <c r="O362" s="60"/>
      <c r="P362" s="60"/>
      <c r="Q362" s="60"/>
      <c r="R362" s="60"/>
      <c r="S362" s="60"/>
      <c r="T362" s="60"/>
      <c r="U362" s="60"/>
    </row>
    <row r="363" spans="2:21">
      <c r="I363" s="65"/>
      <c r="J363" s="418"/>
      <c r="M363" s="279"/>
      <c r="N363" s="279"/>
    </row>
    <row r="364" spans="2:21">
      <c r="I364" s="65"/>
      <c r="J364" s="418"/>
      <c r="M364" s="279"/>
      <c r="N364" s="279"/>
    </row>
    <row r="365" spans="2:21">
      <c r="M365" s="279"/>
      <c r="N365" s="279"/>
    </row>
    <row r="366" spans="2:21">
      <c r="M366" s="279"/>
      <c r="N366" s="279"/>
    </row>
    <row r="367" spans="2:21">
      <c r="M367" s="279"/>
      <c r="N367" s="279"/>
    </row>
    <row r="368" spans="2:21">
      <c r="M368" s="279"/>
      <c r="N368" s="279"/>
    </row>
    <row r="369" spans="13:14">
      <c r="M369" s="279"/>
      <c r="N369" s="279"/>
    </row>
    <row r="370" spans="13:14">
      <c r="M370" s="279"/>
      <c r="N370" s="279"/>
    </row>
    <row r="371" spans="13:14">
      <c r="M371" s="279"/>
      <c r="N371" s="279"/>
    </row>
    <row r="372" spans="13:14">
      <c r="M372" s="279"/>
      <c r="N372" s="279"/>
    </row>
    <row r="373" spans="13:14">
      <c r="M373" s="279"/>
      <c r="N373" s="279"/>
    </row>
    <row r="374" spans="13:14">
      <c r="M374" s="279"/>
      <c r="N374" s="279"/>
    </row>
    <row r="375" spans="13:14">
      <c r="M375" s="279"/>
      <c r="N375" s="279"/>
    </row>
    <row r="376" spans="13:14">
      <c r="M376" s="279"/>
      <c r="N376" s="279"/>
    </row>
    <row r="377" spans="13:14">
      <c r="M377" s="279"/>
      <c r="N377" s="279"/>
    </row>
    <row r="378" spans="13:14">
      <c r="M378" s="279"/>
      <c r="N378" s="279"/>
    </row>
    <row r="379" spans="13:14">
      <c r="M379" s="279"/>
      <c r="N379" s="279"/>
    </row>
    <row r="380" spans="13:14">
      <c r="M380" s="279"/>
      <c r="N380" s="279"/>
    </row>
    <row r="381" spans="13:14">
      <c r="M381" s="279"/>
      <c r="N381" s="279"/>
    </row>
    <row r="382" spans="13:14">
      <c r="M382" s="279"/>
      <c r="N382" s="279"/>
    </row>
    <row r="383" spans="13:14">
      <c r="M383" s="279"/>
      <c r="N383" s="279"/>
    </row>
    <row r="384" spans="13:14">
      <c r="M384" s="279"/>
      <c r="N384" s="279"/>
    </row>
    <row r="385" spans="13:14">
      <c r="M385" s="279"/>
      <c r="N385" s="279"/>
    </row>
    <row r="386" spans="13:14">
      <c r="M386" s="279"/>
      <c r="N386" s="279"/>
    </row>
    <row r="387" spans="13:14">
      <c r="M387" s="279"/>
      <c r="N387" s="279"/>
    </row>
    <row r="388" spans="13:14">
      <c r="M388" s="279"/>
      <c r="N388" s="279"/>
    </row>
    <row r="389" spans="13:14">
      <c r="M389" s="279"/>
      <c r="N389" s="279"/>
    </row>
    <row r="390" spans="13:14">
      <c r="M390" s="279"/>
      <c r="N390" s="279"/>
    </row>
    <row r="391" spans="13:14">
      <c r="M391" s="279"/>
      <c r="N391" s="279"/>
    </row>
    <row r="392" spans="13:14">
      <c r="M392" s="279"/>
      <c r="N392" s="279"/>
    </row>
    <row r="393" spans="13:14">
      <c r="M393" s="279"/>
      <c r="N393" s="279"/>
    </row>
    <row r="394" spans="13:14">
      <c r="M394" s="279"/>
      <c r="N394" s="279"/>
    </row>
    <row r="395" spans="13:14">
      <c r="M395" s="279"/>
      <c r="N395" s="279"/>
    </row>
    <row r="396" spans="13:14">
      <c r="M396" s="279"/>
      <c r="N396" s="279"/>
    </row>
    <row r="397" spans="13:14">
      <c r="M397" s="279"/>
      <c r="N397" s="279"/>
    </row>
    <row r="398" spans="13:14">
      <c r="M398" s="279"/>
      <c r="N398" s="279"/>
    </row>
    <row r="399" spans="13:14">
      <c r="M399" s="279"/>
      <c r="N399" s="279"/>
    </row>
    <row r="400" spans="13:14">
      <c r="M400" s="279"/>
      <c r="N400" s="279"/>
    </row>
    <row r="401" spans="13:14">
      <c r="M401" s="279"/>
      <c r="N401" s="279"/>
    </row>
    <row r="402" spans="13:14">
      <c r="M402" s="279"/>
      <c r="N402" s="279"/>
    </row>
    <row r="403" spans="13:14">
      <c r="M403" s="279"/>
      <c r="N403" s="279"/>
    </row>
    <row r="404" spans="13:14">
      <c r="M404" s="279"/>
      <c r="N404" s="279"/>
    </row>
    <row r="405" spans="13:14">
      <c r="M405" s="279"/>
      <c r="N405" s="279"/>
    </row>
    <row r="406" spans="13:14">
      <c r="M406" s="279"/>
      <c r="N406" s="279"/>
    </row>
    <row r="407" spans="13:14">
      <c r="M407" s="279"/>
      <c r="N407" s="279"/>
    </row>
    <row r="408" spans="13:14">
      <c r="M408" s="279"/>
      <c r="N408" s="279"/>
    </row>
    <row r="409" spans="13:14">
      <c r="M409" s="279"/>
      <c r="N409" s="279"/>
    </row>
    <row r="410" spans="13:14">
      <c r="M410" s="279"/>
      <c r="N410" s="279"/>
    </row>
    <row r="411" spans="13:14">
      <c r="M411" s="279"/>
      <c r="N411" s="279"/>
    </row>
    <row r="412" spans="13:14">
      <c r="M412" s="279"/>
      <c r="N412" s="279"/>
    </row>
    <row r="413" spans="13:14">
      <c r="M413" s="279"/>
      <c r="N413" s="279"/>
    </row>
    <row r="414" spans="13:14">
      <c r="M414" s="279"/>
      <c r="N414" s="279"/>
    </row>
    <row r="415" spans="13:14">
      <c r="M415" s="279"/>
      <c r="N415" s="279"/>
    </row>
    <row r="416" spans="13:14">
      <c r="M416" s="279"/>
      <c r="N416" s="279"/>
    </row>
    <row r="417" spans="13:14">
      <c r="M417" s="279"/>
      <c r="N417" s="279"/>
    </row>
    <row r="418" spans="13:14">
      <c r="M418" s="279"/>
      <c r="N418" s="279"/>
    </row>
    <row r="419" spans="13:14">
      <c r="M419" s="279"/>
      <c r="N419" s="279"/>
    </row>
    <row r="420" spans="13:14">
      <c r="M420" s="279"/>
      <c r="N420" s="279"/>
    </row>
    <row r="421" spans="13:14">
      <c r="M421" s="279"/>
      <c r="N421" s="279"/>
    </row>
    <row r="422" spans="13:14">
      <c r="M422" s="279"/>
      <c r="N422" s="279"/>
    </row>
    <row r="423" spans="13:14">
      <c r="M423" s="279"/>
      <c r="N423" s="279"/>
    </row>
    <row r="424" spans="13:14">
      <c r="M424" s="279"/>
      <c r="N424" s="279"/>
    </row>
    <row r="425" spans="13:14">
      <c r="M425" s="279"/>
      <c r="N425" s="279"/>
    </row>
    <row r="426" spans="13:14">
      <c r="M426" s="279"/>
      <c r="N426" s="279"/>
    </row>
    <row r="427" spans="13:14">
      <c r="M427" s="279"/>
      <c r="N427" s="279"/>
    </row>
    <row r="428" spans="13:14">
      <c r="M428" s="279"/>
      <c r="N428" s="279"/>
    </row>
    <row r="429" spans="13:14">
      <c r="M429" s="279"/>
      <c r="N429" s="279"/>
    </row>
    <row r="430" spans="13:14">
      <c r="M430" s="279"/>
      <c r="N430" s="279"/>
    </row>
    <row r="431" spans="13:14">
      <c r="M431" s="279"/>
      <c r="N431" s="279"/>
    </row>
    <row r="432" spans="13:14">
      <c r="M432" s="279"/>
      <c r="N432" s="279"/>
    </row>
    <row r="433" spans="13:14">
      <c r="M433" s="279"/>
      <c r="N433" s="279"/>
    </row>
    <row r="434" spans="13:14">
      <c r="M434" s="279"/>
      <c r="N434" s="279"/>
    </row>
    <row r="435" spans="13:14">
      <c r="M435" s="279"/>
      <c r="N435" s="279"/>
    </row>
    <row r="436" spans="13:14">
      <c r="M436" s="279"/>
      <c r="N436" s="279"/>
    </row>
    <row r="437" spans="13:14">
      <c r="M437" s="279"/>
      <c r="N437" s="279"/>
    </row>
    <row r="438" spans="13:14">
      <c r="M438" s="279"/>
      <c r="N438" s="279"/>
    </row>
    <row r="439" spans="13:14">
      <c r="M439" s="279"/>
      <c r="N439" s="279"/>
    </row>
    <row r="440" spans="13:14">
      <c r="M440" s="279"/>
      <c r="N440" s="279"/>
    </row>
    <row r="441" spans="13:14">
      <c r="M441" s="279"/>
      <c r="N441" s="279"/>
    </row>
    <row r="442" spans="13:14">
      <c r="M442" s="279"/>
      <c r="N442" s="279"/>
    </row>
    <row r="443" spans="13:14">
      <c r="M443" s="279"/>
      <c r="N443" s="279"/>
    </row>
    <row r="444" spans="13:14">
      <c r="M444" s="279"/>
      <c r="N444" s="279"/>
    </row>
    <row r="445" spans="13:14">
      <c r="M445" s="279"/>
      <c r="N445" s="279"/>
    </row>
    <row r="446" spans="13:14">
      <c r="M446" s="279"/>
      <c r="N446" s="279"/>
    </row>
    <row r="447" spans="13:14">
      <c r="M447" s="279"/>
      <c r="N447" s="279"/>
    </row>
    <row r="448" spans="13:14">
      <c r="M448" s="279"/>
      <c r="N448" s="279"/>
    </row>
    <row r="449" spans="13:14">
      <c r="M449" s="279"/>
      <c r="N449" s="279"/>
    </row>
    <row r="450" spans="13:14">
      <c r="M450" s="279"/>
      <c r="N450" s="279"/>
    </row>
    <row r="451" spans="13:14">
      <c r="M451" s="279"/>
      <c r="N451" s="279"/>
    </row>
    <row r="452" spans="13:14">
      <c r="M452" s="279"/>
      <c r="N452" s="279"/>
    </row>
    <row r="453" spans="13:14">
      <c r="M453" s="279"/>
      <c r="N453" s="279"/>
    </row>
    <row r="454" spans="13:14">
      <c r="M454" s="279"/>
      <c r="N454" s="279"/>
    </row>
    <row r="455" spans="13:14">
      <c r="M455" s="279"/>
      <c r="N455" s="279"/>
    </row>
    <row r="456" spans="13:14">
      <c r="M456" s="279"/>
      <c r="N456" s="279"/>
    </row>
    <row r="457" spans="13:14">
      <c r="M457" s="279"/>
      <c r="N457" s="279"/>
    </row>
    <row r="458" spans="13:14">
      <c r="M458" s="279"/>
      <c r="N458" s="279"/>
    </row>
    <row r="459" spans="13:14">
      <c r="M459" s="279"/>
      <c r="N459" s="279"/>
    </row>
    <row r="460" spans="13:14">
      <c r="M460" s="279"/>
      <c r="N460" s="279"/>
    </row>
    <row r="461" spans="13:14">
      <c r="M461" s="279"/>
      <c r="N461" s="279"/>
    </row>
    <row r="462" spans="13:14">
      <c r="M462" s="279"/>
      <c r="N462" s="279"/>
    </row>
    <row r="463" spans="13:14">
      <c r="M463" s="279"/>
      <c r="N463" s="279"/>
    </row>
    <row r="464" spans="13:14">
      <c r="M464" s="279"/>
      <c r="N464" s="279"/>
    </row>
    <row r="465" spans="13:14">
      <c r="M465" s="279"/>
      <c r="N465" s="279"/>
    </row>
    <row r="466" spans="13:14">
      <c r="M466" s="279"/>
      <c r="N466" s="279"/>
    </row>
    <row r="467" spans="13:14">
      <c r="M467" s="279"/>
      <c r="N467" s="279"/>
    </row>
    <row r="468" spans="13:14">
      <c r="M468" s="279"/>
      <c r="N468" s="279"/>
    </row>
    <row r="469" spans="13:14">
      <c r="M469" s="279"/>
      <c r="N469" s="279"/>
    </row>
    <row r="470" spans="13:14">
      <c r="M470" s="279"/>
      <c r="N470" s="279"/>
    </row>
    <row r="471" spans="13:14">
      <c r="M471" s="279"/>
      <c r="N471" s="279"/>
    </row>
    <row r="472" spans="13:14">
      <c r="M472" s="279"/>
      <c r="N472" s="279"/>
    </row>
    <row r="473" spans="13:14">
      <c r="M473" s="279"/>
      <c r="N473" s="279"/>
    </row>
    <row r="474" spans="13:14">
      <c r="M474" s="279"/>
      <c r="N474" s="279"/>
    </row>
    <row r="475" spans="13:14">
      <c r="M475" s="279"/>
      <c r="N475" s="279"/>
    </row>
    <row r="476" spans="13:14">
      <c r="M476" s="279"/>
      <c r="N476" s="279"/>
    </row>
    <row r="477" spans="13:14">
      <c r="M477" s="279"/>
      <c r="N477" s="279"/>
    </row>
    <row r="478" spans="13:14">
      <c r="M478" s="279"/>
      <c r="N478" s="279"/>
    </row>
    <row r="479" spans="13:14">
      <c r="M479" s="279"/>
      <c r="N479" s="279"/>
    </row>
    <row r="480" spans="13:14">
      <c r="M480" s="279"/>
      <c r="N480" s="279"/>
    </row>
    <row r="481" spans="13:14">
      <c r="M481" s="279"/>
      <c r="N481" s="279"/>
    </row>
    <row r="482" spans="13:14">
      <c r="M482" s="279"/>
      <c r="N482" s="279"/>
    </row>
    <row r="483" spans="13:14">
      <c r="M483" s="279"/>
      <c r="N483" s="279"/>
    </row>
    <row r="484" spans="13:14">
      <c r="M484" s="279"/>
      <c r="N484" s="279"/>
    </row>
    <row r="485" spans="13:14">
      <c r="M485" s="279"/>
      <c r="N485" s="279"/>
    </row>
    <row r="486" spans="13:14">
      <c r="M486" s="279"/>
      <c r="N486" s="279"/>
    </row>
    <row r="487" spans="13:14">
      <c r="M487" s="279"/>
      <c r="N487" s="279"/>
    </row>
    <row r="488" spans="13:14">
      <c r="M488" s="279"/>
      <c r="N488" s="279"/>
    </row>
    <row r="489" spans="13:14">
      <c r="M489" s="279"/>
      <c r="N489" s="279"/>
    </row>
    <row r="490" spans="13:14">
      <c r="M490" s="279"/>
      <c r="N490" s="279"/>
    </row>
    <row r="491" spans="13:14">
      <c r="M491" s="279"/>
      <c r="N491" s="279"/>
    </row>
    <row r="492" spans="13:14">
      <c r="M492" s="279"/>
      <c r="N492" s="279"/>
    </row>
    <row r="493" spans="13:14">
      <c r="M493" s="279"/>
      <c r="N493" s="279"/>
    </row>
    <row r="494" spans="13:14">
      <c r="M494" s="279"/>
      <c r="N494" s="279"/>
    </row>
    <row r="495" spans="13:14">
      <c r="M495" s="279"/>
      <c r="N495" s="279"/>
    </row>
    <row r="496" spans="13:14">
      <c r="M496" s="279"/>
      <c r="N496" s="279"/>
    </row>
    <row r="497" spans="13:14">
      <c r="M497" s="279"/>
      <c r="N497" s="279"/>
    </row>
    <row r="498" spans="13:14">
      <c r="M498" s="279"/>
      <c r="N498" s="279"/>
    </row>
    <row r="499" spans="13:14">
      <c r="M499" s="279"/>
      <c r="N499" s="279"/>
    </row>
    <row r="500" spans="13:14">
      <c r="M500" s="279"/>
      <c r="N500" s="279"/>
    </row>
    <row r="501" spans="13:14">
      <c r="M501" s="279"/>
      <c r="N501" s="279"/>
    </row>
    <row r="502" spans="13:14">
      <c r="M502" s="279"/>
      <c r="N502" s="279"/>
    </row>
    <row r="503" spans="13:14">
      <c r="M503" s="279"/>
      <c r="N503" s="279"/>
    </row>
    <row r="504" spans="13:14">
      <c r="M504" s="279"/>
      <c r="N504" s="279"/>
    </row>
    <row r="505" spans="13:14">
      <c r="M505" s="279"/>
      <c r="N505" s="279"/>
    </row>
    <row r="506" spans="13:14">
      <c r="M506" s="279"/>
      <c r="N506" s="279"/>
    </row>
    <row r="507" spans="13:14">
      <c r="M507" s="279"/>
      <c r="N507" s="279"/>
    </row>
    <row r="508" spans="13:14">
      <c r="M508" s="279"/>
      <c r="N508" s="279"/>
    </row>
    <row r="509" spans="13:14">
      <c r="M509" s="279"/>
      <c r="N509" s="279"/>
    </row>
    <row r="510" spans="13:14">
      <c r="M510" s="279"/>
      <c r="N510" s="279"/>
    </row>
    <row r="511" spans="13:14">
      <c r="M511" s="279"/>
      <c r="N511" s="279"/>
    </row>
    <row r="512" spans="13:14">
      <c r="M512" s="279"/>
      <c r="N512" s="279"/>
    </row>
    <row r="513" spans="13:14">
      <c r="M513" s="279"/>
      <c r="N513" s="279"/>
    </row>
    <row r="514" spans="13:14">
      <c r="M514" s="279"/>
      <c r="N514" s="279"/>
    </row>
    <row r="515" spans="13:14">
      <c r="M515" s="279"/>
      <c r="N515" s="279"/>
    </row>
    <row r="516" spans="13:14">
      <c r="M516" s="279"/>
      <c r="N516" s="279"/>
    </row>
    <row r="517" spans="13:14">
      <c r="M517" s="279"/>
      <c r="N517" s="279"/>
    </row>
    <row r="518" spans="13:14">
      <c r="M518" s="279"/>
      <c r="N518" s="279"/>
    </row>
    <row r="519" spans="13:14">
      <c r="M519" s="279"/>
      <c r="N519" s="279"/>
    </row>
    <row r="520" spans="13:14">
      <c r="M520" s="279"/>
      <c r="N520" s="279"/>
    </row>
  </sheetData>
  <mergeCells count="16">
    <mergeCell ref="D340:J340"/>
    <mergeCell ref="D341:J341"/>
    <mergeCell ref="D339:J339"/>
    <mergeCell ref="B20:I21"/>
    <mergeCell ref="I125:J125"/>
    <mergeCell ref="I48:J48"/>
    <mergeCell ref="I51:J51"/>
    <mergeCell ref="I122:J122"/>
    <mergeCell ref="D325:J325"/>
    <mergeCell ref="D319:J319"/>
    <mergeCell ref="D308:J308"/>
    <mergeCell ref="D306:J306"/>
    <mergeCell ref="D335:J335"/>
    <mergeCell ref="D23:E24"/>
    <mergeCell ref="D279:J280"/>
    <mergeCell ref="D295:J295"/>
  </mergeCells>
  <phoneticPr fontId="0" type="noConversion"/>
  <printOptions horizontalCentered="1"/>
  <pageMargins left="0.25" right="0.25" top="1" bottom="1" header="0.65" footer="0.25"/>
  <pageSetup scale="42" fitToHeight="0" orientation="portrait" horizontalDpi="1200" verticalDpi="1200" r:id="rId1"/>
  <headerFooter alignWithMargins="0">
    <oddHeader xml:space="preserve">&amp;R&amp;16AEP - SPP Transco Formula Rate
TCOS
Page: &amp;P of &amp;N
</oddHeader>
    <oddFooter xml:space="preserve">&amp;R &amp;C </oddFooter>
  </headerFooter>
  <rowBreaks count="4" manualBreakCount="4">
    <brk id="39" max="11" man="1"/>
    <brk id="114" max="11" man="1"/>
    <brk id="194" max="11" man="1"/>
    <brk id="25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opLeftCell="A18" zoomScaleNormal="100" zoomScaleSheetLayoutView="70" zoomScalePageLayoutView="80" workbookViewId="0">
      <selection activeCell="E22" sqref="E22"/>
    </sheetView>
  </sheetViews>
  <sheetFormatPr defaultColWidth="11.453125" defaultRowHeight="12.5"/>
  <cols>
    <col min="1" max="1" width="10.26953125" style="468" customWidth="1"/>
    <col min="2" max="2" width="39.81640625" style="421" customWidth="1"/>
    <col min="3" max="3" width="21.1796875" style="421" customWidth="1"/>
    <col min="4" max="4" width="19.26953125" style="421" customWidth="1"/>
    <col min="5" max="5" width="18.81640625" style="421" customWidth="1"/>
    <col min="6" max="6" width="18" style="421" customWidth="1"/>
    <col min="7" max="7" width="20.26953125" style="421" customWidth="1"/>
    <col min="8" max="8" width="17.1796875" style="421" customWidth="1"/>
    <col min="9" max="9" width="16" style="421" customWidth="1"/>
    <col min="10" max="15" width="20.26953125" style="421" customWidth="1"/>
    <col min="16" max="16" width="20" style="421" customWidth="1"/>
    <col min="17" max="18" width="15.1796875" style="421" customWidth="1"/>
    <col min="19" max="16384" width="11.453125" style="421"/>
  </cols>
  <sheetData>
    <row r="1" spans="1:16" ht="15.5">
      <c r="A1" s="420"/>
    </row>
    <row r="2" spans="1:16" ht="15.5">
      <c r="A2" s="1990" t="str">
        <f>'OKT TCOS'!F4</f>
        <v xml:space="preserve">AEP West SPP Member Transmission Companies </v>
      </c>
      <c r="B2" s="1990"/>
      <c r="C2" s="1990"/>
      <c r="D2" s="1990"/>
      <c r="E2" s="1990"/>
      <c r="F2" s="1990"/>
      <c r="G2" s="1990"/>
      <c r="H2" s="1990"/>
      <c r="I2" s="422"/>
      <c r="J2" s="422"/>
      <c r="K2" s="422"/>
      <c r="L2" s="423"/>
      <c r="M2" s="423"/>
    </row>
    <row r="3" spans="1:16" ht="15.5">
      <c r="A3" s="1990" t="str">
        <f>"Actual / Projected "&amp;'OKT TCOS'!$N$2&amp;" Rate Year Cost of Service Formula Rate "</f>
        <v xml:space="preserve">Actual / Projected 2019 Rate Year Cost of Service Formula Rate </v>
      </c>
      <c r="B3" s="1990"/>
      <c r="C3" s="1990"/>
      <c r="D3" s="1990"/>
      <c r="E3" s="1990"/>
      <c r="F3" s="1990"/>
      <c r="G3" s="1990"/>
      <c r="H3" s="1990"/>
      <c r="I3" s="422"/>
      <c r="J3" s="422"/>
      <c r="K3" s="422"/>
      <c r="L3" s="423"/>
      <c r="M3" s="423"/>
      <c r="N3" s="423"/>
      <c r="P3" s="424"/>
    </row>
    <row r="4" spans="1:16" ht="15.5">
      <c r="A4" s="1991" t="s">
        <v>738</v>
      </c>
      <c r="B4" s="1991"/>
      <c r="C4" s="1991"/>
      <c r="D4" s="1991"/>
      <c r="E4" s="1991"/>
      <c r="F4" s="1991"/>
      <c r="G4" s="1991"/>
      <c r="H4" s="1991"/>
      <c r="I4" s="422"/>
      <c r="J4" s="422"/>
      <c r="K4" s="422"/>
      <c r="L4" s="423"/>
      <c r="M4" s="423"/>
      <c r="N4" s="423"/>
    </row>
    <row r="5" spans="1:16" ht="15.5">
      <c r="A5" s="1992" t="str">
        <f>+'OKT TCOS'!$F$8</f>
        <v>AEP OKLAHOMA TRANSMISSION COMPANY, INC.</v>
      </c>
      <c r="B5" s="1992"/>
      <c r="C5" s="1992"/>
      <c r="D5" s="1992"/>
      <c r="E5" s="1992"/>
      <c r="F5" s="1992"/>
      <c r="G5" s="1992"/>
      <c r="H5" s="1992"/>
      <c r="I5" s="425"/>
      <c r="J5" s="425"/>
      <c r="K5" s="425"/>
      <c r="L5" s="423"/>
      <c r="M5" s="423"/>
      <c r="N5" s="423"/>
    </row>
    <row r="6" spans="1:16" ht="13">
      <c r="A6" s="423"/>
      <c r="B6" s="426"/>
      <c r="C6" s="426"/>
      <c r="D6" s="426"/>
      <c r="E6" s="426"/>
      <c r="F6" s="426"/>
      <c r="G6" s="426"/>
      <c r="H6" s="426"/>
      <c r="I6" s="427"/>
      <c r="J6" s="428"/>
      <c r="L6" s="428"/>
      <c r="N6" s="428"/>
      <c r="P6" s="428"/>
    </row>
    <row r="7" spans="1:16" ht="12.75" customHeight="1">
      <c r="A7" s="423"/>
      <c r="B7" s="426"/>
      <c r="C7" s="1993" t="s">
        <v>731</v>
      </c>
      <c r="D7" s="1994"/>
      <c r="E7" s="1994"/>
      <c r="F7" s="1994"/>
      <c r="G7" s="1994"/>
      <c r="H7" s="1995"/>
      <c r="I7" s="132"/>
      <c r="J7" s="132"/>
      <c r="K7" s="132"/>
      <c r="L7" s="132"/>
      <c r="M7" s="132"/>
      <c r="N7" s="132"/>
      <c r="O7" s="132"/>
      <c r="P7" s="429"/>
    </row>
    <row r="8" spans="1:16" s="435" customFormat="1" ht="25.5">
      <c r="A8" s="430" t="s">
        <v>706</v>
      </c>
      <c r="B8" s="431" t="s">
        <v>689</v>
      </c>
      <c r="C8" s="432" t="s">
        <v>707</v>
      </c>
      <c r="D8" s="433" t="s">
        <v>708</v>
      </c>
      <c r="E8" s="433" t="s">
        <v>254</v>
      </c>
      <c r="F8" s="433" t="s">
        <v>709</v>
      </c>
      <c r="G8" s="433" t="s">
        <v>710</v>
      </c>
      <c r="H8" s="434" t="s">
        <v>711</v>
      </c>
      <c r="I8" s="132"/>
      <c r="J8" s="132"/>
      <c r="K8" s="132"/>
      <c r="L8" s="132"/>
      <c r="M8" s="132"/>
      <c r="N8" s="132"/>
      <c r="O8" s="132"/>
      <c r="P8" s="429"/>
    </row>
    <row r="9" spans="1:16" s="440" customFormat="1" ht="13">
      <c r="A9" s="436"/>
      <c r="B9" s="437" t="s">
        <v>715</v>
      </c>
      <c r="C9" s="438" t="s">
        <v>716</v>
      </c>
      <c r="D9" s="439" t="s">
        <v>717</v>
      </c>
      <c r="E9" s="439" t="s">
        <v>718</v>
      </c>
      <c r="F9" s="439" t="s">
        <v>719</v>
      </c>
      <c r="G9" s="439" t="s">
        <v>720</v>
      </c>
      <c r="H9" s="437" t="s">
        <v>721</v>
      </c>
      <c r="I9" s="132"/>
      <c r="J9" s="132"/>
      <c r="K9" s="132"/>
      <c r="L9" s="132"/>
      <c r="M9" s="132"/>
      <c r="N9" s="132"/>
      <c r="O9" s="132"/>
      <c r="P9" s="429"/>
    </row>
    <row r="10" spans="1:16" s="440" customFormat="1" ht="44.25" customHeight="1">
      <c r="A10" s="436"/>
      <c r="B10" s="437"/>
      <c r="C10" s="441" t="s">
        <v>63</v>
      </c>
      <c r="D10" s="442" t="s">
        <v>68</v>
      </c>
      <c r="E10" s="442" t="s">
        <v>64</v>
      </c>
      <c r="F10" s="442" t="s">
        <v>722</v>
      </c>
      <c r="G10" s="442" t="s">
        <v>65</v>
      </c>
      <c r="H10" s="443" t="s">
        <v>66</v>
      </c>
      <c r="I10" s="132"/>
      <c r="J10" s="132"/>
      <c r="K10" s="132"/>
      <c r="L10" s="132"/>
      <c r="M10" s="132"/>
      <c r="N10" s="132"/>
      <c r="O10" s="132"/>
      <c r="P10" s="429"/>
    </row>
    <row r="11" spans="1:16">
      <c r="A11" s="436">
        <v>1</v>
      </c>
      <c r="B11" s="444" t="s">
        <v>725</v>
      </c>
      <c r="C11" s="445">
        <v>0</v>
      </c>
      <c r="D11" s="446">
        <v>0</v>
      </c>
      <c r="E11" s="446">
        <v>958546907</v>
      </c>
      <c r="F11" s="446">
        <v>0</v>
      </c>
      <c r="G11" s="446">
        <v>0</v>
      </c>
      <c r="H11" s="447">
        <v>0</v>
      </c>
      <c r="I11" s="132"/>
      <c r="J11" s="132"/>
      <c r="K11" s="132"/>
      <c r="L11" s="132"/>
      <c r="M11" s="132"/>
      <c r="N11" s="132"/>
      <c r="O11" s="132"/>
      <c r="P11" s="429"/>
    </row>
    <row r="12" spans="1:16">
      <c r="A12" s="436">
        <f>+A11+1</f>
        <v>2</v>
      </c>
      <c r="B12" s="444" t="s">
        <v>321</v>
      </c>
      <c r="C12" s="445"/>
      <c r="D12" s="446"/>
      <c r="E12" s="446">
        <v>970577077</v>
      </c>
      <c r="F12" s="446"/>
      <c r="G12" s="446"/>
      <c r="H12" s="447"/>
      <c r="I12" s="132"/>
      <c r="J12" s="132"/>
      <c r="K12" s="132"/>
      <c r="L12" s="132"/>
      <c r="M12" s="132"/>
      <c r="N12" s="132"/>
      <c r="O12" s="132"/>
      <c r="P12" s="429"/>
    </row>
    <row r="13" spans="1:16">
      <c r="A13" s="436">
        <f t="shared" ref="A13:A24" si="0">+A12+1</f>
        <v>3</v>
      </c>
      <c r="B13" s="448" t="s">
        <v>514</v>
      </c>
      <c r="C13" s="445"/>
      <c r="D13" s="446"/>
      <c r="E13" s="446">
        <v>972413462</v>
      </c>
      <c r="F13" s="446"/>
      <c r="G13" s="446"/>
      <c r="H13" s="447"/>
      <c r="I13" s="132"/>
      <c r="J13" s="132"/>
      <c r="K13" s="132"/>
      <c r="L13" s="132"/>
      <c r="M13" s="132"/>
      <c r="N13" s="132"/>
      <c r="O13" s="132"/>
      <c r="P13" s="429"/>
    </row>
    <row r="14" spans="1:16">
      <c r="A14" s="436">
        <f t="shared" si="0"/>
        <v>4</v>
      </c>
      <c r="B14" s="448" t="s">
        <v>726</v>
      </c>
      <c r="C14" s="445"/>
      <c r="D14" s="446"/>
      <c r="E14" s="446">
        <v>971604989</v>
      </c>
      <c r="F14" s="446"/>
      <c r="G14" s="446"/>
      <c r="H14" s="447"/>
      <c r="I14" s="132"/>
      <c r="J14" s="132"/>
      <c r="K14" s="132"/>
      <c r="L14" s="132"/>
      <c r="M14" s="132"/>
      <c r="N14" s="132"/>
      <c r="O14" s="132"/>
      <c r="P14" s="429"/>
    </row>
    <row r="15" spans="1:16">
      <c r="A15" s="436">
        <f t="shared" si="0"/>
        <v>5</v>
      </c>
      <c r="B15" s="448" t="s">
        <v>323</v>
      </c>
      <c r="C15" s="445"/>
      <c r="D15" s="446"/>
      <c r="E15" s="446">
        <v>975036564</v>
      </c>
      <c r="F15" s="446"/>
      <c r="G15" s="446"/>
      <c r="H15" s="447"/>
      <c r="I15" s="132"/>
      <c r="J15" s="132"/>
      <c r="K15" s="132"/>
      <c r="L15" s="132"/>
      <c r="M15" s="132"/>
      <c r="N15" s="132"/>
      <c r="O15" s="132"/>
      <c r="P15" s="429"/>
    </row>
    <row r="16" spans="1:16">
      <c r="A16" s="436">
        <f t="shared" si="0"/>
        <v>6</v>
      </c>
      <c r="B16" s="448" t="s">
        <v>324</v>
      </c>
      <c r="C16" s="445"/>
      <c r="D16" s="446"/>
      <c r="E16" s="446">
        <v>989229202</v>
      </c>
      <c r="F16" s="446"/>
      <c r="G16" s="446"/>
      <c r="H16" s="447"/>
      <c r="I16" s="132"/>
      <c r="J16" s="132"/>
      <c r="K16" s="132"/>
      <c r="L16" s="132"/>
      <c r="M16" s="132"/>
      <c r="N16" s="132"/>
      <c r="O16" s="132"/>
      <c r="P16" s="429"/>
    </row>
    <row r="17" spans="1:16">
      <c r="A17" s="436">
        <f t="shared" si="0"/>
        <v>7</v>
      </c>
      <c r="B17" s="448" t="s">
        <v>48</v>
      </c>
      <c r="C17" s="445"/>
      <c r="D17" s="446"/>
      <c r="E17" s="446">
        <v>992634125</v>
      </c>
      <c r="F17" s="446"/>
      <c r="G17" s="446"/>
      <c r="H17" s="447"/>
      <c r="I17" s="132"/>
      <c r="J17" s="132"/>
      <c r="K17" s="132"/>
      <c r="L17" s="132"/>
      <c r="M17" s="132"/>
      <c r="N17" s="132"/>
      <c r="O17" s="132"/>
      <c r="P17" s="429"/>
    </row>
    <row r="18" spans="1:16">
      <c r="A18" s="436">
        <f t="shared" si="0"/>
        <v>8</v>
      </c>
      <c r="B18" s="448" t="s">
        <v>325</v>
      </c>
      <c r="C18" s="445"/>
      <c r="D18" s="446"/>
      <c r="E18" s="446">
        <v>1011883411</v>
      </c>
      <c r="F18" s="446"/>
      <c r="G18" s="446"/>
      <c r="H18" s="447"/>
      <c r="I18" s="132"/>
      <c r="J18" s="132"/>
      <c r="K18" s="132"/>
      <c r="L18" s="132"/>
      <c r="M18" s="132"/>
      <c r="N18" s="132"/>
      <c r="O18" s="132"/>
      <c r="P18" s="429"/>
    </row>
    <row r="19" spans="1:16">
      <c r="A19" s="436">
        <f t="shared" si="0"/>
        <v>9</v>
      </c>
      <c r="B19" s="448" t="s">
        <v>727</v>
      </c>
      <c r="C19" s="445"/>
      <c r="D19" s="446"/>
      <c r="E19" s="446">
        <v>1014590749</v>
      </c>
      <c r="F19" s="446"/>
      <c r="G19" s="446"/>
      <c r="H19" s="447"/>
      <c r="I19" s="132"/>
      <c r="J19" s="132"/>
      <c r="K19" s="132"/>
      <c r="L19" s="132"/>
      <c r="M19" s="132"/>
      <c r="N19" s="132"/>
      <c r="O19" s="132"/>
      <c r="P19" s="429"/>
    </row>
    <row r="20" spans="1:16">
      <c r="A20" s="436">
        <f t="shared" si="0"/>
        <v>10</v>
      </c>
      <c r="B20" s="448" t="s">
        <v>328</v>
      </c>
      <c r="C20" s="445"/>
      <c r="D20" s="446"/>
      <c r="E20" s="446">
        <v>1016100363</v>
      </c>
      <c r="F20" s="446"/>
      <c r="G20" s="446"/>
      <c r="H20" s="447"/>
      <c r="I20" s="132"/>
      <c r="J20" s="132"/>
      <c r="K20" s="132"/>
      <c r="L20" s="132"/>
      <c r="M20" s="132"/>
      <c r="N20" s="132"/>
      <c r="O20" s="132"/>
      <c r="P20" s="429"/>
    </row>
    <row r="21" spans="1:16">
      <c r="A21" s="436">
        <f t="shared" si="0"/>
        <v>11</v>
      </c>
      <c r="B21" s="448" t="s">
        <v>515</v>
      </c>
      <c r="C21" s="445"/>
      <c r="D21" s="446"/>
      <c r="E21" s="446">
        <v>1016550762</v>
      </c>
      <c r="F21" s="446"/>
      <c r="G21" s="446"/>
      <c r="H21" s="447"/>
      <c r="I21" s="132"/>
      <c r="J21" s="132"/>
      <c r="K21" s="132"/>
      <c r="L21" s="132"/>
      <c r="M21" s="132"/>
      <c r="N21" s="132"/>
      <c r="O21" s="132"/>
      <c r="P21" s="429"/>
    </row>
    <row r="22" spans="1:16">
      <c r="A22" s="436">
        <f t="shared" si="0"/>
        <v>12</v>
      </c>
      <c r="B22" s="448" t="s">
        <v>516</v>
      </c>
      <c r="C22" s="445"/>
      <c r="D22" s="446"/>
      <c r="E22" s="446">
        <v>1019288747</v>
      </c>
      <c r="F22" s="446"/>
      <c r="G22" s="446"/>
      <c r="H22" s="447"/>
      <c r="I22" s="132"/>
      <c r="J22" s="132"/>
      <c r="K22" s="132"/>
      <c r="L22" s="132"/>
      <c r="M22" s="132"/>
      <c r="N22" s="132"/>
      <c r="O22" s="132"/>
      <c r="P22" s="429"/>
    </row>
    <row r="23" spans="1:16">
      <c r="A23" s="449">
        <f t="shared" si="0"/>
        <v>13</v>
      </c>
      <c r="B23" s="450" t="s">
        <v>728</v>
      </c>
      <c r="C23" s="445">
        <v>0</v>
      </c>
      <c r="D23" s="446">
        <v>0</v>
      </c>
      <c r="E23" s="446">
        <v>1056374505</v>
      </c>
      <c r="F23" s="446">
        <v>0</v>
      </c>
      <c r="G23" s="446">
        <v>0</v>
      </c>
      <c r="H23" s="447">
        <v>0</v>
      </c>
      <c r="I23" s="132"/>
      <c r="J23" s="132"/>
      <c r="K23" s="132"/>
      <c r="L23" s="132"/>
      <c r="M23" s="132"/>
      <c r="N23" s="132"/>
      <c r="O23" s="132"/>
      <c r="P23" s="429"/>
    </row>
    <row r="24" spans="1:16" ht="13" thickBot="1">
      <c r="A24" s="451">
        <f t="shared" si="0"/>
        <v>14</v>
      </c>
      <c r="B24" s="1941" t="s">
        <v>1072</v>
      </c>
      <c r="C24" s="1944">
        <f t="shared" ref="C24:H24" si="1">SUM(C11:C23)/13</f>
        <v>0</v>
      </c>
      <c r="D24" s="1942">
        <f t="shared" si="1"/>
        <v>0</v>
      </c>
      <c r="E24" s="1942">
        <f t="shared" si="1"/>
        <v>997294681.76923072</v>
      </c>
      <c r="F24" s="1942">
        <f t="shared" si="1"/>
        <v>0</v>
      </c>
      <c r="G24" s="1942">
        <f t="shared" si="1"/>
        <v>0</v>
      </c>
      <c r="H24" s="1943">
        <f t="shared" si="1"/>
        <v>0</v>
      </c>
      <c r="I24" s="132"/>
      <c r="J24" s="132"/>
      <c r="K24" s="132"/>
      <c r="L24" s="132"/>
      <c r="M24" s="132"/>
      <c r="N24" s="132"/>
      <c r="O24" s="132"/>
      <c r="P24" s="429"/>
    </row>
    <row r="25" spans="1:16" ht="13" thickTop="1">
      <c r="A25" s="423"/>
      <c r="B25" s="452"/>
      <c r="C25" s="453"/>
      <c r="D25" s="453"/>
      <c r="E25" s="453"/>
      <c r="F25" s="454"/>
      <c r="G25" s="454"/>
      <c r="H25" s="454"/>
      <c r="I25" s="132"/>
      <c r="J25" s="132"/>
      <c r="K25" s="132"/>
      <c r="L25" s="132"/>
      <c r="M25" s="132"/>
      <c r="N25" s="132"/>
      <c r="O25" s="132"/>
      <c r="P25" s="429"/>
    </row>
    <row r="26" spans="1:16" ht="14.25" customHeight="1">
      <c r="A26" s="423"/>
      <c r="B26" s="452"/>
      <c r="C26" s="453"/>
      <c r="D26" s="453"/>
      <c r="E26" s="453"/>
      <c r="F26" s="454"/>
      <c r="G26" s="454"/>
      <c r="H26" s="454"/>
      <c r="I26" s="132"/>
      <c r="J26" s="132"/>
      <c r="K26" s="132"/>
      <c r="L26" s="132"/>
      <c r="M26" s="132"/>
      <c r="N26" s="132"/>
      <c r="O26" s="132"/>
      <c r="P26" s="429"/>
    </row>
    <row r="27" spans="1:16" ht="12.75" customHeight="1">
      <c r="A27" s="423"/>
      <c r="B27" s="426"/>
      <c r="C27" s="1993" t="s">
        <v>732</v>
      </c>
      <c r="D27" s="1994"/>
      <c r="E27" s="1994"/>
      <c r="F27" s="1994"/>
      <c r="G27" s="1994"/>
      <c r="H27" s="132"/>
      <c r="I27" s="132"/>
      <c r="J27" s="132"/>
      <c r="K27" s="132"/>
      <c r="L27" s="132"/>
      <c r="M27" s="132"/>
      <c r="N27" s="132"/>
      <c r="O27" s="132"/>
      <c r="P27" s="429"/>
    </row>
    <row r="28" spans="1:16" s="435" customFormat="1" ht="26">
      <c r="A28" s="430" t="s">
        <v>706</v>
      </c>
      <c r="B28" s="431" t="s">
        <v>689</v>
      </c>
      <c r="C28" s="433" t="s">
        <v>712</v>
      </c>
      <c r="D28" s="433" t="s">
        <v>713</v>
      </c>
      <c r="E28" s="433" t="s">
        <v>714</v>
      </c>
      <c r="F28" s="433" t="s">
        <v>735</v>
      </c>
      <c r="G28" s="434" t="s">
        <v>736</v>
      </c>
      <c r="J28" s="132"/>
      <c r="K28" s="132"/>
      <c r="L28" s="132"/>
      <c r="M28" s="132"/>
      <c r="N28" s="132"/>
      <c r="O28" s="132"/>
      <c r="P28" s="429"/>
    </row>
    <row r="29" spans="1:16" s="440" customFormat="1" ht="13">
      <c r="A29" s="436"/>
      <c r="B29" s="437" t="s">
        <v>715</v>
      </c>
      <c r="C29" s="439" t="s">
        <v>716</v>
      </c>
      <c r="D29" s="439" t="s">
        <v>717</v>
      </c>
      <c r="E29" s="439" t="s">
        <v>718</v>
      </c>
      <c r="F29" s="439" t="s">
        <v>719</v>
      </c>
      <c r="G29" s="439" t="s">
        <v>720</v>
      </c>
      <c r="J29" s="132"/>
      <c r="K29" s="132"/>
      <c r="L29" s="132"/>
      <c r="M29" s="132"/>
      <c r="N29" s="132"/>
      <c r="O29" s="132"/>
      <c r="P29" s="429"/>
    </row>
    <row r="30" spans="1:16" s="440" customFormat="1" ht="52.5" customHeight="1">
      <c r="A30" s="436"/>
      <c r="B30" s="437"/>
      <c r="C30" s="455" t="s">
        <v>723</v>
      </c>
      <c r="D30" s="442" t="s">
        <v>724</v>
      </c>
      <c r="E30" s="442" t="s">
        <v>67</v>
      </c>
      <c r="F30" s="442" t="s">
        <v>654</v>
      </c>
      <c r="G30" s="443" t="s">
        <v>654</v>
      </c>
      <c r="J30" s="132"/>
      <c r="K30" s="132"/>
      <c r="L30" s="132"/>
      <c r="M30" s="132"/>
      <c r="N30" s="132"/>
      <c r="O30" s="132"/>
      <c r="P30" s="429"/>
    </row>
    <row r="31" spans="1:16" ht="13">
      <c r="A31" s="436">
        <f>+A24+1</f>
        <v>15</v>
      </c>
      <c r="B31" s="444" t="s">
        <v>725</v>
      </c>
      <c r="C31" s="456">
        <v>17854169</v>
      </c>
      <c r="D31" s="446">
        <v>0</v>
      </c>
      <c r="E31" s="456">
        <v>8880296</v>
      </c>
      <c r="F31" s="1967"/>
      <c r="G31" s="457">
        <v>68391666.090000018</v>
      </c>
      <c r="J31" s="132"/>
      <c r="K31" s="132"/>
      <c r="L31" s="132"/>
      <c r="M31" s="132"/>
      <c r="N31" s="132"/>
      <c r="O31" s="132"/>
      <c r="P31" s="429"/>
    </row>
    <row r="32" spans="1:16">
      <c r="A32" s="436">
        <f>+A31+1</f>
        <v>16</v>
      </c>
      <c r="B32" s="444" t="s">
        <v>321</v>
      </c>
      <c r="C32" s="445">
        <v>17855476</v>
      </c>
      <c r="D32" s="446"/>
      <c r="E32" s="446">
        <v>8991110</v>
      </c>
      <c r="F32" s="446"/>
      <c r="G32" s="446">
        <v>68391666.090000018</v>
      </c>
      <c r="J32" s="132"/>
      <c r="K32" s="132"/>
      <c r="L32" s="132"/>
      <c r="M32" s="132"/>
      <c r="N32" s="132"/>
      <c r="O32" s="132"/>
      <c r="P32" s="429"/>
    </row>
    <row r="33" spans="1:16">
      <c r="A33" s="436">
        <f t="shared" ref="A33:A44" si="2">+A32+1</f>
        <v>17</v>
      </c>
      <c r="B33" s="448" t="s">
        <v>514</v>
      </c>
      <c r="C33" s="445">
        <v>17858226</v>
      </c>
      <c r="D33" s="446"/>
      <c r="E33" s="446">
        <v>9074659</v>
      </c>
      <c r="F33" s="446"/>
      <c r="G33" s="446">
        <v>68391666.090000018</v>
      </c>
      <c r="J33" s="132"/>
      <c r="K33" s="132"/>
      <c r="L33" s="132"/>
      <c r="M33" s="132"/>
      <c r="N33" s="132"/>
      <c r="O33" s="132"/>
      <c r="P33" s="429"/>
    </row>
    <row r="34" spans="1:16">
      <c r="A34" s="436">
        <f t="shared" si="2"/>
        <v>18</v>
      </c>
      <c r="B34" s="448" t="s">
        <v>726</v>
      </c>
      <c r="C34" s="445">
        <v>17860023</v>
      </c>
      <c r="D34" s="446"/>
      <c r="E34" s="446">
        <v>8959883</v>
      </c>
      <c r="F34" s="446"/>
      <c r="G34" s="446">
        <v>68391666.090000018</v>
      </c>
      <c r="J34" s="132"/>
      <c r="K34" s="132"/>
      <c r="L34" s="132"/>
      <c r="M34" s="132"/>
      <c r="N34" s="132"/>
      <c r="O34" s="132"/>
      <c r="P34" s="429"/>
    </row>
    <row r="35" spans="1:16">
      <c r="A35" s="436">
        <f t="shared" si="2"/>
        <v>19</v>
      </c>
      <c r="B35" s="448" t="s">
        <v>323</v>
      </c>
      <c r="C35" s="445">
        <v>17860055</v>
      </c>
      <c r="D35" s="446"/>
      <c r="E35" s="446">
        <v>9035544</v>
      </c>
      <c r="F35" s="446"/>
      <c r="G35" s="446">
        <v>69428234.527000025</v>
      </c>
      <c r="J35" s="132"/>
      <c r="K35" s="132"/>
      <c r="L35" s="132"/>
      <c r="M35" s="132"/>
      <c r="N35" s="132"/>
      <c r="O35" s="132"/>
      <c r="P35" s="429"/>
    </row>
    <row r="36" spans="1:16">
      <c r="A36" s="436">
        <f t="shared" si="2"/>
        <v>20</v>
      </c>
      <c r="B36" s="448" t="s">
        <v>324</v>
      </c>
      <c r="C36" s="445">
        <v>17860106</v>
      </c>
      <c r="D36" s="446"/>
      <c r="E36" s="446">
        <v>9130035</v>
      </c>
      <c r="F36" s="446"/>
      <c r="G36" s="446">
        <v>69428234.527000025</v>
      </c>
      <c r="J36" s="132"/>
      <c r="K36" s="132"/>
      <c r="L36" s="132"/>
      <c r="M36" s="132"/>
      <c r="N36" s="132"/>
      <c r="O36" s="132"/>
      <c r="P36" s="429"/>
    </row>
    <row r="37" spans="1:16">
      <c r="A37" s="436">
        <f t="shared" si="2"/>
        <v>21</v>
      </c>
      <c r="B37" s="448" t="s">
        <v>48</v>
      </c>
      <c r="C37" s="445">
        <v>17859739</v>
      </c>
      <c r="D37" s="446"/>
      <c r="E37" s="446">
        <v>9260517</v>
      </c>
      <c r="F37" s="446"/>
      <c r="G37" s="446">
        <v>69428234.527000025</v>
      </c>
      <c r="J37" s="132"/>
      <c r="K37" s="132"/>
      <c r="L37" s="132"/>
      <c r="M37" s="132"/>
      <c r="N37" s="132"/>
      <c r="O37" s="132"/>
      <c r="P37" s="429"/>
    </row>
    <row r="38" spans="1:16">
      <c r="A38" s="436">
        <f t="shared" si="2"/>
        <v>22</v>
      </c>
      <c r="B38" s="448" t="s">
        <v>325</v>
      </c>
      <c r="C38" s="445">
        <v>17859913</v>
      </c>
      <c r="D38" s="446"/>
      <c r="E38" s="446">
        <v>9395304</v>
      </c>
      <c r="F38" s="446"/>
      <c r="G38" s="446">
        <v>69428234.527000025</v>
      </c>
      <c r="J38" s="132"/>
      <c r="K38" s="132"/>
      <c r="L38" s="132"/>
      <c r="M38" s="132"/>
      <c r="N38" s="132"/>
      <c r="O38" s="132"/>
      <c r="P38" s="429"/>
    </row>
    <row r="39" spans="1:16">
      <c r="A39" s="436">
        <f t="shared" si="2"/>
        <v>23</v>
      </c>
      <c r="B39" s="448" t="s">
        <v>727</v>
      </c>
      <c r="C39" s="445">
        <v>17860437</v>
      </c>
      <c r="D39" s="446"/>
      <c r="E39" s="446">
        <v>9550084</v>
      </c>
      <c r="F39" s="446"/>
      <c r="G39" s="446">
        <v>69428234.527000025</v>
      </c>
      <c r="J39" s="132"/>
      <c r="K39" s="132"/>
      <c r="L39" s="132"/>
      <c r="M39" s="132"/>
      <c r="N39" s="132"/>
      <c r="O39" s="132"/>
      <c r="P39" s="429"/>
    </row>
    <row r="40" spans="1:16">
      <c r="A40" s="436">
        <f t="shared" si="2"/>
        <v>24</v>
      </c>
      <c r="B40" s="448" t="s">
        <v>328</v>
      </c>
      <c r="C40" s="445">
        <v>17860490</v>
      </c>
      <c r="D40" s="446"/>
      <c r="E40" s="446">
        <v>9634181</v>
      </c>
      <c r="F40" s="446"/>
      <c r="G40" s="446">
        <v>69428234.527000025</v>
      </c>
      <c r="J40" s="132"/>
      <c r="K40" s="132"/>
      <c r="L40" s="132"/>
      <c r="M40" s="132"/>
      <c r="N40" s="132"/>
      <c r="O40" s="132"/>
      <c r="P40" s="429"/>
    </row>
    <row r="41" spans="1:16">
      <c r="A41" s="436">
        <f t="shared" si="2"/>
        <v>25</v>
      </c>
      <c r="B41" s="448" t="s">
        <v>515</v>
      </c>
      <c r="C41" s="445">
        <v>17860904</v>
      </c>
      <c r="D41" s="446"/>
      <c r="E41" s="446">
        <v>9767848</v>
      </c>
      <c r="F41" s="446"/>
      <c r="G41" s="446">
        <v>69428234.527000025</v>
      </c>
      <c r="J41" s="132"/>
      <c r="K41" s="132"/>
      <c r="L41" s="132"/>
      <c r="M41" s="132"/>
      <c r="N41" s="132"/>
      <c r="O41" s="132"/>
      <c r="P41" s="429"/>
    </row>
    <row r="42" spans="1:16">
      <c r="A42" s="436">
        <f t="shared" si="2"/>
        <v>26</v>
      </c>
      <c r="B42" s="448" t="s">
        <v>516</v>
      </c>
      <c r="C42" s="445">
        <v>17874861</v>
      </c>
      <c r="D42" s="446"/>
      <c r="E42" s="446">
        <v>9967998</v>
      </c>
      <c r="F42" s="446"/>
      <c r="G42" s="446">
        <v>69428987.107000023</v>
      </c>
      <c r="J42" s="132"/>
      <c r="K42" s="132"/>
      <c r="L42" s="132"/>
      <c r="M42" s="132"/>
      <c r="N42" s="132"/>
      <c r="O42" s="132"/>
      <c r="P42" s="429"/>
    </row>
    <row r="43" spans="1:16">
      <c r="A43" s="449">
        <f t="shared" si="2"/>
        <v>27</v>
      </c>
      <c r="B43" s="450" t="s">
        <v>728</v>
      </c>
      <c r="C43" s="446">
        <v>17912856</v>
      </c>
      <c r="D43" s="446">
        <v>0</v>
      </c>
      <c r="E43" s="446">
        <v>12426068</v>
      </c>
      <c r="F43" s="446"/>
      <c r="G43" s="446">
        <v>69428987.107000023</v>
      </c>
      <c r="J43" s="132"/>
      <c r="K43" s="132"/>
      <c r="L43" s="132"/>
      <c r="M43" s="132"/>
      <c r="N43" s="132"/>
      <c r="O43" s="132"/>
      <c r="P43" s="429"/>
    </row>
    <row r="44" spans="1:16" ht="13" thickBot="1">
      <c r="A44" s="451">
        <f t="shared" si="2"/>
        <v>28</v>
      </c>
      <c r="B44" s="1941" t="s">
        <v>1072</v>
      </c>
      <c r="C44" s="1942">
        <f>SUM(C31:C43)/13</f>
        <v>17864404.230769232</v>
      </c>
      <c r="D44" s="1942">
        <f>SUM(D31:D43)/13</f>
        <v>0</v>
      </c>
      <c r="E44" s="1942">
        <f>SUM(E31:E43)/13</f>
        <v>9544117.461538462</v>
      </c>
      <c r="F44" s="1942">
        <f>SUM(F31:F43)/13</f>
        <v>0</v>
      </c>
      <c r="G44" s="1943">
        <f>SUM(G31:G43)/13</f>
        <v>69109406.174076945</v>
      </c>
      <c r="J44" s="132"/>
      <c r="K44" s="132"/>
      <c r="L44" s="132"/>
      <c r="M44" s="132"/>
      <c r="N44" s="132"/>
      <c r="O44" s="132"/>
      <c r="P44" s="429"/>
    </row>
    <row r="45" spans="1:16" ht="13" thickTop="1">
      <c r="A45" s="423"/>
      <c r="B45" s="452"/>
      <c r="C45" s="453"/>
      <c r="D45" s="453"/>
      <c r="E45" s="453"/>
      <c r="F45" s="454"/>
      <c r="G45" s="454"/>
      <c r="H45" s="132"/>
      <c r="I45" s="132"/>
      <c r="J45" s="132"/>
      <c r="K45" s="132"/>
      <c r="L45" s="132"/>
      <c r="M45" s="132"/>
      <c r="N45" s="132"/>
      <c r="O45" s="132"/>
      <c r="P45" s="429"/>
    </row>
    <row r="46" spans="1:16">
      <c r="A46" s="423"/>
      <c r="C46" s="453"/>
      <c r="D46" s="453"/>
      <c r="E46" s="453"/>
      <c r="F46" s="454"/>
      <c r="G46" s="454"/>
      <c r="H46" s="454"/>
      <c r="I46" s="454"/>
      <c r="J46" s="454"/>
      <c r="K46" s="453"/>
      <c r="L46" s="453"/>
      <c r="M46" s="453"/>
      <c r="N46" s="458"/>
      <c r="O46" s="458"/>
      <c r="P46" s="429"/>
    </row>
    <row r="47" spans="1:16" ht="13">
      <c r="A47" s="423"/>
      <c r="B47" s="459" t="s">
        <v>754</v>
      </c>
      <c r="C47" s="453"/>
      <c r="D47" s="453"/>
      <c r="E47" s="453"/>
      <c r="F47" s="454"/>
      <c r="G47" s="454"/>
      <c r="H47" s="454"/>
      <c r="I47" s="454"/>
      <c r="J47" s="454"/>
      <c r="K47" s="453"/>
      <c r="L47" s="453"/>
      <c r="M47" s="453"/>
      <c r="N47" s="458"/>
      <c r="O47" s="458"/>
      <c r="P47" s="429"/>
    </row>
    <row r="48" spans="1:16" ht="26">
      <c r="A48" s="460" t="s">
        <v>706</v>
      </c>
      <c r="B48" s="461" t="s">
        <v>740</v>
      </c>
      <c r="C48" s="1988" t="s">
        <v>741</v>
      </c>
      <c r="D48" s="1988"/>
      <c r="E48" s="1988"/>
      <c r="F48" s="462" t="s">
        <v>742</v>
      </c>
      <c r="G48" s="462" t="str">
        <f>'OKT TCOS'!N2&amp;" Rate Year Beginning balance"</f>
        <v>2019 Rate Year Beginning balance</v>
      </c>
      <c r="H48" s="462" t="str">
        <f>'OKT TCOS'!N2&amp;" Rate Year Ending balance"</f>
        <v>2019 Rate Year Ending balance</v>
      </c>
      <c r="I48" s="433" t="str">
        <f>'OKT TCOS'!N2&amp;" Rate Year Average"</f>
        <v>2019 Rate Year Average</v>
      </c>
      <c r="J48" s="454"/>
      <c r="K48" s="453"/>
      <c r="L48" s="453"/>
      <c r="M48" s="453"/>
      <c r="N48" s="458"/>
      <c r="O48" s="458"/>
      <c r="P48" s="429"/>
    </row>
    <row r="49" spans="1:16" ht="13">
      <c r="A49" s="423"/>
      <c r="B49" s="439" t="s">
        <v>715</v>
      </c>
      <c r="C49" s="1989" t="s">
        <v>716</v>
      </c>
      <c r="D49" s="1989"/>
      <c r="E49" s="1989"/>
      <c r="F49" s="439" t="s">
        <v>717</v>
      </c>
      <c r="G49" s="439" t="s">
        <v>718</v>
      </c>
      <c r="H49" s="439" t="s">
        <v>719</v>
      </c>
      <c r="I49" s="463" t="s">
        <v>720</v>
      </c>
      <c r="J49" s="454"/>
      <c r="K49" s="453"/>
      <c r="L49" s="453"/>
      <c r="M49" s="453"/>
      <c r="N49" s="458"/>
      <c r="O49" s="458"/>
      <c r="P49" s="429"/>
    </row>
    <row r="50" spans="1:16">
      <c r="A50" s="464" t="str">
        <f>+A$44+1&amp;"A"</f>
        <v>29A</v>
      </c>
      <c r="B50" s="446"/>
      <c r="C50" s="446"/>
      <c r="D50" s="446"/>
      <c r="E50" s="446"/>
      <c r="F50" s="465"/>
      <c r="G50" s="446"/>
      <c r="H50" s="446"/>
      <c r="I50" s="446"/>
    </row>
    <row r="51" spans="1:16">
      <c r="A51" s="464" t="str">
        <f>+A$44+1&amp;"B"</f>
        <v>29B</v>
      </c>
      <c r="B51" s="446"/>
      <c r="C51" s="446"/>
      <c r="D51" s="446"/>
      <c r="E51" s="446"/>
      <c r="F51" s="465"/>
      <c r="G51" s="446"/>
      <c r="H51" s="446"/>
      <c r="I51" s="446"/>
    </row>
    <row r="52" spans="1:16">
      <c r="A52" s="464" t="str">
        <f>+A$44+1&amp;"C"</f>
        <v>29C</v>
      </c>
      <c r="B52" s="446"/>
      <c r="C52" s="446"/>
      <c r="D52" s="446"/>
      <c r="E52" s="446"/>
      <c r="F52" s="446"/>
      <c r="G52" s="446"/>
      <c r="H52" s="446"/>
      <c r="I52" s="446"/>
    </row>
    <row r="53" spans="1:16" ht="13" thickBot="1">
      <c r="A53" s="464">
        <f>+A44+2</f>
        <v>30</v>
      </c>
      <c r="B53" s="466" t="s">
        <v>745</v>
      </c>
      <c r="C53" s="466"/>
      <c r="D53" s="466"/>
      <c r="E53" s="466"/>
      <c r="F53" s="466"/>
      <c r="G53" s="467">
        <f>+SUM(G50:G52)</f>
        <v>0</v>
      </c>
      <c r="H53" s="467">
        <f>+SUM(H50:H52)</f>
        <v>0</v>
      </c>
      <c r="I53" s="467">
        <f>+SUM(I50:I52)</f>
        <v>0</v>
      </c>
    </row>
    <row r="54" spans="1:16" ht="13" thickTop="1"/>
    <row r="55" spans="1:16">
      <c r="A55" s="469" t="s">
        <v>753</v>
      </c>
    </row>
    <row r="56" spans="1:16">
      <c r="A56" s="464" t="s">
        <v>300</v>
      </c>
      <c r="B56" s="421" t="s">
        <v>756</v>
      </c>
    </row>
    <row r="57" spans="1:16">
      <c r="A57" s="423" t="s">
        <v>301</v>
      </c>
      <c r="B57" s="470" t="s">
        <v>755</v>
      </c>
    </row>
  </sheetData>
  <mergeCells count="8">
    <mergeCell ref="C48:E48"/>
    <mergeCell ref="C49:E49"/>
    <mergeCell ref="A2:H2"/>
    <mergeCell ref="A3:H3"/>
    <mergeCell ref="A4:H4"/>
    <mergeCell ref="A5:H5"/>
    <mergeCell ref="C7:H7"/>
    <mergeCell ref="C27:G27"/>
  </mergeCells>
  <pageMargins left="0.7" right="0.7" top="0.75" bottom="0.75" header="0.3" footer="0.3"/>
  <pageSetup scale="50" orientation="portrait" cellComments="asDisplayed" r:id="rId1"/>
  <headerFooter>
    <oddHeader>&amp;RAEP - SPP Transco Formula Rate
TCOS - WS A-1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topLeftCell="A25" zoomScaleNormal="100" zoomScaleSheetLayoutView="70" zoomScalePageLayoutView="80" workbookViewId="0">
      <selection activeCell="G43" sqref="G43"/>
    </sheetView>
  </sheetViews>
  <sheetFormatPr defaultColWidth="11.453125" defaultRowHeight="12.5"/>
  <cols>
    <col min="1" max="1" width="10.26953125" style="468" customWidth="1"/>
    <col min="2" max="2" width="39.81640625" style="421" customWidth="1"/>
    <col min="3" max="3" width="21.1796875" style="421" customWidth="1"/>
    <col min="4" max="4" width="19.26953125" style="421" customWidth="1"/>
    <col min="5" max="5" width="18.81640625" style="421" customWidth="1"/>
    <col min="6" max="6" width="18" style="421" customWidth="1"/>
    <col min="7" max="7" width="16.54296875" style="421" customWidth="1"/>
    <col min="8" max="8" width="17.1796875" style="421" customWidth="1"/>
    <col min="9" max="9" width="15.26953125" style="421" customWidth="1"/>
    <col min="10" max="15" width="20.26953125" style="421" customWidth="1"/>
    <col min="16" max="16" width="20" style="421" customWidth="1"/>
    <col min="17" max="18" width="15.1796875" style="421" customWidth="1"/>
    <col min="19" max="16384" width="11.453125" style="421"/>
  </cols>
  <sheetData>
    <row r="1" spans="1:16" ht="15.5">
      <c r="A1" s="420"/>
    </row>
    <row r="2" spans="1:16" ht="15.5">
      <c r="A2" s="1990" t="str">
        <f>'OKT TCOS'!F4</f>
        <v xml:space="preserve">AEP West SPP Member Transmission Companies </v>
      </c>
      <c r="B2" s="1990"/>
      <c r="C2" s="1990"/>
      <c r="D2" s="1990"/>
      <c r="E2" s="1990"/>
      <c r="F2" s="1990"/>
      <c r="G2" s="1990"/>
      <c r="H2" s="1990"/>
      <c r="I2" s="422"/>
      <c r="J2" s="422"/>
      <c r="K2" s="422"/>
      <c r="L2" s="423"/>
      <c r="M2" s="423"/>
    </row>
    <row r="3" spans="1:16" ht="15.5">
      <c r="A3" s="1990" t="str">
        <f>"Actual / Projected "&amp;'OKT TCOS'!$N$2&amp;" Rate Year Cost of Service Formula Rate "</f>
        <v xml:space="preserve">Actual / Projected 2019 Rate Year Cost of Service Formula Rate </v>
      </c>
      <c r="B3" s="1990"/>
      <c r="C3" s="1990"/>
      <c r="D3" s="1990"/>
      <c r="E3" s="1990"/>
      <c r="F3" s="1990"/>
      <c r="G3" s="1990"/>
      <c r="H3" s="1990"/>
      <c r="I3" s="422"/>
      <c r="J3" s="422"/>
      <c r="K3" s="422"/>
      <c r="L3" s="423"/>
      <c r="M3" s="423"/>
      <c r="N3" s="423"/>
      <c r="P3" s="424"/>
    </row>
    <row r="4" spans="1:16" ht="15.5">
      <c r="A4" s="1991" t="s">
        <v>737</v>
      </c>
      <c r="B4" s="1991"/>
      <c r="C4" s="1991"/>
      <c r="D4" s="1991"/>
      <c r="E4" s="1991"/>
      <c r="F4" s="1991"/>
      <c r="G4" s="1991"/>
      <c r="H4" s="1991"/>
      <c r="I4" s="422"/>
      <c r="J4" s="422"/>
      <c r="K4" s="422"/>
      <c r="L4" s="423"/>
      <c r="M4" s="423"/>
      <c r="N4" s="423"/>
    </row>
    <row r="5" spans="1:16" ht="15.5">
      <c r="A5" s="1992" t="str">
        <f>+'OKT TCOS'!$F$8</f>
        <v>AEP OKLAHOMA TRANSMISSION COMPANY, INC.</v>
      </c>
      <c r="B5" s="1992"/>
      <c r="C5" s="1992"/>
      <c r="D5" s="1992"/>
      <c r="E5" s="1992"/>
      <c r="F5" s="1992"/>
      <c r="G5" s="1992"/>
      <c r="H5" s="1992"/>
      <c r="I5" s="425"/>
      <c r="J5" s="425"/>
      <c r="K5" s="425"/>
      <c r="L5" s="423"/>
      <c r="M5" s="423"/>
      <c r="N5" s="423"/>
    </row>
    <row r="6" spans="1:16" ht="13">
      <c r="A6" s="423"/>
      <c r="B6" s="426"/>
      <c r="C6" s="426"/>
      <c r="D6" s="426"/>
      <c r="E6" s="426"/>
      <c r="F6" s="426"/>
      <c r="G6" s="426"/>
      <c r="H6" s="426"/>
      <c r="I6" s="427"/>
      <c r="J6" s="428"/>
      <c r="L6" s="428"/>
      <c r="N6" s="428"/>
      <c r="P6" s="428"/>
    </row>
    <row r="7" spans="1:16" ht="12.75" customHeight="1">
      <c r="A7" s="423"/>
      <c r="B7" s="426"/>
      <c r="C7" s="1993" t="s">
        <v>734</v>
      </c>
      <c r="D7" s="1994"/>
      <c r="E7" s="1994"/>
      <c r="F7" s="1994"/>
      <c r="G7" s="1994"/>
      <c r="H7" s="1995"/>
      <c r="I7" s="132"/>
      <c r="J7" s="132"/>
      <c r="K7" s="132"/>
      <c r="L7" s="132"/>
      <c r="M7" s="132"/>
      <c r="N7" s="132"/>
      <c r="O7" s="132"/>
      <c r="P7" s="429"/>
    </row>
    <row r="8" spans="1:16" s="435" customFormat="1" ht="56.25" customHeight="1">
      <c r="A8" s="430" t="s">
        <v>706</v>
      </c>
      <c r="B8" s="431" t="s">
        <v>689</v>
      </c>
      <c r="C8" s="433" t="s">
        <v>707</v>
      </c>
      <c r="D8" s="433" t="s">
        <v>708</v>
      </c>
      <c r="E8" s="433" t="s">
        <v>254</v>
      </c>
      <c r="F8" s="433" t="s">
        <v>709</v>
      </c>
      <c r="G8" s="433" t="s">
        <v>710</v>
      </c>
      <c r="H8" s="433" t="s">
        <v>711</v>
      </c>
      <c r="I8" s="132"/>
      <c r="J8" s="132"/>
      <c r="K8" s="132"/>
      <c r="L8" s="132"/>
      <c r="M8" s="132"/>
      <c r="N8" s="132"/>
      <c r="O8" s="132"/>
      <c r="P8" s="429"/>
    </row>
    <row r="9" spans="1:16" s="440" customFormat="1" ht="13">
      <c r="A9" s="436"/>
      <c r="B9" s="437" t="s">
        <v>715</v>
      </c>
      <c r="C9" s="439" t="s">
        <v>716</v>
      </c>
      <c r="D9" s="439" t="s">
        <v>717</v>
      </c>
      <c r="E9" s="439" t="s">
        <v>718</v>
      </c>
      <c r="F9" s="439" t="s">
        <v>719</v>
      </c>
      <c r="G9" s="439" t="s">
        <v>720</v>
      </c>
      <c r="H9" s="439" t="s">
        <v>721</v>
      </c>
      <c r="I9" s="132"/>
      <c r="J9" s="132"/>
      <c r="K9" s="132"/>
      <c r="L9" s="132"/>
      <c r="M9" s="132"/>
      <c r="N9" s="132"/>
      <c r="O9" s="132"/>
      <c r="P9" s="429"/>
    </row>
    <row r="10" spans="1:16" s="440" customFormat="1" ht="44.25" customHeight="1">
      <c r="A10" s="436"/>
      <c r="B10" s="437"/>
      <c r="C10" s="442" t="s">
        <v>21</v>
      </c>
      <c r="D10" s="442" t="s">
        <v>729</v>
      </c>
      <c r="E10" s="442" t="s">
        <v>22</v>
      </c>
      <c r="F10" s="442" t="s">
        <v>729</v>
      </c>
      <c r="G10" s="442" t="s">
        <v>180</v>
      </c>
      <c r="H10" s="442" t="s">
        <v>729</v>
      </c>
      <c r="I10" s="132"/>
      <c r="J10" s="132"/>
      <c r="K10" s="132"/>
      <c r="L10" s="132"/>
      <c r="M10" s="132"/>
      <c r="N10" s="132"/>
      <c r="O10" s="132"/>
      <c r="P10" s="429"/>
    </row>
    <row r="11" spans="1:16">
      <c r="A11" s="436">
        <v>1</v>
      </c>
      <c r="B11" s="444" t="s">
        <v>725</v>
      </c>
      <c r="C11" s="446">
        <v>0</v>
      </c>
      <c r="D11" s="446">
        <v>0</v>
      </c>
      <c r="E11" s="446">
        <v>71625024</v>
      </c>
      <c r="F11" s="446"/>
      <c r="G11" s="446">
        <v>0</v>
      </c>
      <c r="H11" s="446"/>
      <c r="I11" s="132"/>
      <c r="J11" s="132"/>
      <c r="K11" s="132"/>
      <c r="L11" s="132"/>
      <c r="M11" s="132"/>
      <c r="N11" s="132"/>
      <c r="O11" s="132"/>
      <c r="P11" s="429"/>
    </row>
    <row r="12" spans="1:16">
      <c r="A12" s="436">
        <f>+A11+1</f>
        <v>2</v>
      </c>
      <c r="B12" s="444" t="s">
        <v>321</v>
      </c>
      <c r="C12" s="446"/>
      <c r="D12" s="446"/>
      <c r="E12" s="446">
        <v>73994934</v>
      </c>
      <c r="F12" s="446"/>
      <c r="G12" s="446"/>
      <c r="H12" s="446"/>
      <c r="I12" s="132"/>
      <c r="J12" s="132"/>
      <c r="K12" s="132"/>
      <c r="L12" s="132"/>
      <c r="M12" s="132"/>
      <c r="N12" s="132"/>
      <c r="O12" s="132"/>
      <c r="P12" s="429"/>
    </row>
    <row r="13" spans="1:16">
      <c r="A13" s="436">
        <f t="shared" ref="A13:A24" si="0">+A12+1</f>
        <v>3</v>
      </c>
      <c r="B13" s="448" t="s">
        <v>514</v>
      </c>
      <c r="C13" s="446"/>
      <c r="D13" s="446"/>
      <c r="E13" s="446">
        <v>76375765</v>
      </c>
      <c r="F13" s="446"/>
      <c r="G13" s="446"/>
      <c r="H13" s="446"/>
      <c r="I13" s="132"/>
      <c r="J13" s="132"/>
      <c r="K13" s="132"/>
      <c r="L13" s="132"/>
      <c r="M13" s="132"/>
      <c r="N13" s="132"/>
      <c r="O13" s="132"/>
      <c r="P13" s="429"/>
    </row>
    <row r="14" spans="1:16">
      <c r="A14" s="436">
        <f t="shared" si="0"/>
        <v>4</v>
      </c>
      <c r="B14" s="448" t="s">
        <v>726</v>
      </c>
      <c r="C14" s="446"/>
      <c r="D14" s="446"/>
      <c r="E14" s="446">
        <v>78626402</v>
      </c>
      <c r="F14" s="446"/>
      <c r="G14" s="446"/>
      <c r="H14" s="446"/>
      <c r="I14" s="132"/>
      <c r="J14" s="132"/>
      <c r="K14" s="132"/>
      <c r="L14" s="132"/>
      <c r="M14" s="132"/>
      <c r="N14" s="132"/>
      <c r="O14" s="132"/>
      <c r="P14" s="429"/>
    </row>
    <row r="15" spans="1:16">
      <c r="A15" s="436">
        <f t="shared" si="0"/>
        <v>5</v>
      </c>
      <c r="B15" s="448" t="s">
        <v>323</v>
      </c>
      <c r="C15" s="446"/>
      <c r="D15" s="446"/>
      <c r="E15" s="446">
        <v>81028281</v>
      </c>
      <c r="F15" s="446"/>
      <c r="G15" s="446"/>
      <c r="H15" s="446"/>
      <c r="I15" s="132"/>
      <c r="J15" s="132"/>
      <c r="K15" s="132"/>
      <c r="L15" s="132"/>
      <c r="M15" s="132"/>
      <c r="N15" s="132"/>
      <c r="O15" s="132"/>
      <c r="P15" s="429"/>
    </row>
    <row r="16" spans="1:16">
      <c r="A16" s="436">
        <f t="shared" si="0"/>
        <v>6</v>
      </c>
      <c r="B16" s="448" t="s">
        <v>324</v>
      </c>
      <c r="C16" s="446"/>
      <c r="D16" s="446"/>
      <c r="E16" s="446">
        <v>83374404</v>
      </c>
      <c r="F16" s="446"/>
      <c r="G16" s="446"/>
      <c r="H16" s="446"/>
      <c r="I16" s="132"/>
      <c r="J16" s="132"/>
      <c r="K16" s="132"/>
      <c r="L16" s="132"/>
      <c r="M16" s="132"/>
      <c r="N16" s="132"/>
      <c r="O16" s="132"/>
      <c r="P16" s="429"/>
    </row>
    <row r="17" spans="1:16">
      <c r="A17" s="436">
        <f t="shared" si="0"/>
        <v>7</v>
      </c>
      <c r="B17" s="448" t="s">
        <v>48</v>
      </c>
      <c r="C17" s="446"/>
      <c r="D17" s="446"/>
      <c r="E17" s="446">
        <v>85787018</v>
      </c>
      <c r="F17" s="446"/>
      <c r="G17" s="446"/>
      <c r="H17" s="446"/>
      <c r="I17" s="132"/>
      <c r="J17" s="132"/>
      <c r="K17" s="132"/>
      <c r="L17" s="132"/>
      <c r="M17" s="132"/>
      <c r="N17" s="132"/>
      <c r="O17" s="132"/>
      <c r="P17" s="429"/>
    </row>
    <row r="18" spans="1:16">
      <c r="A18" s="436">
        <f t="shared" si="0"/>
        <v>8</v>
      </c>
      <c r="B18" s="448" t="s">
        <v>325</v>
      </c>
      <c r="C18" s="446"/>
      <c r="D18" s="446"/>
      <c r="E18" s="446">
        <v>88183789</v>
      </c>
      <c r="F18" s="446"/>
      <c r="G18" s="446"/>
      <c r="H18" s="446"/>
      <c r="I18" s="132"/>
      <c r="J18" s="132"/>
      <c r="K18" s="132"/>
      <c r="L18" s="132"/>
      <c r="M18" s="132"/>
      <c r="N18" s="132"/>
      <c r="O18" s="132"/>
      <c r="P18" s="429"/>
    </row>
    <row r="19" spans="1:16">
      <c r="A19" s="436">
        <f t="shared" si="0"/>
        <v>9</v>
      </c>
      <c r="B19" s="448" t="s">
        <v>727</v>
      </c>
      <c r="C19" s="446"/>
      <c r="D19" s="446"/>
      <c r="E19" s="446">
        <v>90656889</v>
      </c>
      <c r="F19" s="446"/>
      <c r="G19" s="446"/>
      <c r="H19" s="446"/>
      <c r="I19" s="132"/>
      <c r="J19" s="132"/>
      <c r="K19" s="132"/>
      <c r="L19" s="132"/>
      <c r="M19" s="132"/>
      <c r="N19" s="132"/>
      <c r="O19" s="132"/>
      <c r="P19" s="429"/>
    </row>
    <row r="20" spans="1:16">
      <c r="A20" s="436">
        <f t="shared" si="0"/>
        <v>10</v>
      </c>
      <c r="B20" s="448" t="s">
        <v>328</v>
      </c>
      <c r="C20" s="446"/>
      <c r="D20" s="446"/>
      <c r="E20" s="446">
        <v>93148869</v>
      </c>
      <c r="F20" s="446"/>
      <c r="G20" s="446"/>
      <c r="H20" s="446"/>
      <c r="I20" s="132"/>
      <c r="J20" s="132"/>
      <c r="K20" s="132"/>
      <c r="L20" s="132"/>
      <c r="M20" s="132"/>
      <c r="N20" s="132"/>
      <c r="O20" s="132"/>
      <c r="P20" s="429"/>
    </row>
    <row r="21" spans="1:16">
      <c r="A21" s="436">
        <f t="shared" si="0"/>
        <v>11</v>
      </c>
      <c r="B21" s="448" t="s">
        <v>515</v>
      </c>
      <c r="C21" s="446"/>
      <c r="D21" s="446"/>
      <c r="E21" s="446">
        <v>95643211</v>
      </c>
      <c r="F21" s="446"/>
      <c r="G21" s="446"/>
      <c r="H21" s="446"/>
      <c r="I21" s="132"/>
      <c r="J21" s="132"/>
      <c r="K21" s="132"/>
      <c r="L21" s="132"/>
      <c r="M21" s="132"/>
      <c r="N21" s="132"/>
      <c r="O21" s="132"/>
      <c r="P21" s="429"/>
    </row>
    <row r="22" spans="1:16">
      <c r="A22" s="436">
        <f t="shared" si="0"/>
        <v>12</v>
      </c>
      <c r="B22" s="448" t="s">
        <v>516</v>
      </c>
      <c r="C22" s="446"/>
      <c r="D22" s="446"/>
      <c r="E22" s="446">
        <v>98135270</v>
      </c>
      <c r="F22" s="446"/>
      <c r="G22" s="446"/>
      <c r="H22" s="446"/>
      <c r="I22" s="132"/>
      <c r="J22" s="132"/>
      <c r="K22" s="132"/>
      <c r="L22" s="132"/>
      <c r="M22" s="132"/>
      <c r="N22" s="132"/>
      <c r="O22" s="132"/>
      <c r="P22" s="429"/>
    </row>
    <row r="23" spans="1:16">
      <c r="A23" s="449">
        <f t="shared" si="0"/>
        <v>13</v>
      </c>
      <c r="B23" s="471" t="s">
        <v>728</v>
      </c>
      <c r="C23" s="446">
        <v>0</v>
      </c>
      <c r="D23" s="446">
        <v>0</v>
      </c>
      <c r="E23" s="446">
        <v>100636365</v>
      </c>
      <c r="F23" s="446"/>
      <c r="G23" s="446">
        <v>0</v>
      </c>
      <c r="H23" s="446"/>
      <c r="I23" s="132"/>
      <c r="J23" s="132"/>
      <c r="K23" s="132"/>
      <c r="L23" s="132"/>
      <c r="M23" s="132"/>
      <c r="N23" s="132"/>
      <c r="O23" s="132"/>
      <c r="P23" s="429"/>
    </row>
    <row r="24" spans="1:16" ht="13" thickBot="1">
      <c r="A24" s="451">
        <f t="shared" si="0"/>
        <v>14</v>
      </c>
      <c r="B24" s="1941" t="s">
        <v>1072</v>
      </c>
      <c r="C24" s="1944">
        <f t="shared" ref="C24:H24" si="1">SUM(C11:C23)/13</f>
        <v>0</v>
      </c>
      <c r="D24" s="1942">
        <f t="shared" si="1"/>
        <v>0</v>
      </c>
      <c r="E24" s="1942">
        <f t="shared" si="1"/>
        <v>85939709.307692304</v>
      </c>
      <c r="F24" s="1942">
        <f t="shared" si="1"/>
        <v>0</v>
      </c>
      <c r="G24" s="1942">
        <f t="shared" si="1"/>
        <v>0</v>
      </c>
      <c r="H24" s="1943">
        <f t="shared" si="1"/>
        <v>0</v>
      </c>
      <c r="I24" s="132"/>
      <c r="J24" s="132"/>
      <c r="K24" s="132"/>
      <c r="L24" s="132"/>
      <c r="M24" s="132"/>
      <c r="N24" s="132"/>
      <c r="O24" s="132"/>
      <c r="P24" s="429"/>
    </row>
    <row r="25" spans="1:16" ht="13" thickTop="1">
      <c r="A25" s="423"/>
      <c r="B25" s="452"/>
      <c r="C25" s="453"/>
      <c r="D25" s="453"/>
      <c r="E25" s="453"/>
      <c r="F25" s="454"/>
      <c r="G25" s="454"/>
      <c r="H25" s="454"/>
      <c r="I25" s="132"/>
      <c r="J25" s="132"/>
      <c r="K25" s="132"/>
      <c r="L25" s="132"/>
      <c r="M25" s="132"/>
      <c r="N25" s="132"/>
      <c r="O25" s="132"/>
      <c r="P25" s="429"/>
    </row>
    <row r="26" spans="1:16" ht="14.25" customHeight="1">
      <c r="A26" s="423"/>
      <c r="B26" s="452"/>
      <c r="C26" s="453"/>
      <c r="D26" s="453"/>
      <c r="E26" s="453"/>
      <c r="F26" s="454"/>
      <c r="G26" s="454"/>
      <c r="H26" s="454"/>
      <c r="I26" s="132"/>
      <c r="J26" s="132"/>
      <c r="K26" s="132"/>
      <c r="L26" s="132"/>
      <c r="M26" s="132"/>
      <c r="N26" s="132"/>
      <c r="O26" s="132"/>
      <c r="P26" s="429"/>
    </row>
    <row r="27" spans="1:16" ht="12.75" customHeight="1">
      <c r="A27" s="423"/>
      <c r="B27" s="426"/>
      <c r="C27" s="1993" t="s">
        <v>733</v>
      </c>
      <c r="D27" s="1994"/>
      <c r="E27" s="1994"/>
      <c r="F27" s="1994"/>
      <c r="G27" s="1995"/>
      <c r="H27" s="472"/>
      <c r="I27" s="472"/>
      <c r="J27" s="132"/>
      <c r="K27" s="132"/>
      <c r="L27" s="132"/>
      <c r="M27" s="132"/>
      <c r="N27" s="132"/>
      <c r="O27" s="132"/>
      <c r="P27" s="429"/>
    </row>
    <row r="28" spans="1:16" s="435" customFormat="1" ht="29.25" customHeight="1">
      <c r="A28" s="430" t="s">
        <v>706</v>
      </c>
      <c r="B28" s="431" t="s">
        <v>689</v>
      </c>
      <c r="C28" s="433" t="s">
        <v>712</v>
      </c>
      <c r="D28" s="433" t="s">
        <v>713</v>
      </c>
      <c r="E28" s="433" t="s">
        <v>714</v>
      </c>
      <c r="F28" s="433" t="s">
        <v>735</v>
      </c>
      <c r="G28" s="434" t="s">
        <v>736</v>
      </c>
      <c r="J28" s="132"/>
      <c r="K28" s="132"/>
      <c r="L28" s="132"/>
      <c r="M28" s="132"/>
      <c r="N28" s="132"/>
      <c r="O28" s="132"/>
      <c r="P28" s="429"/>
    </row>
    <row r="29" spans="1:16" s="440" customFormat="1" ht="13">
      <c r="A29" s="436"/>
      <c r="B29" s="437" t="s">
        <v>715</v>
      </c>
      <c r="C29" s="439" t="s">
        <v>716</v>
      </c>
      <c r="D29" s="439" t="s">
        <v>717</v>
      </c>
      <c r="E29" s="439" t="s">
        <v>718</v>
      </c>
      <c r="F29" s="439" t="s">
        <v>719</v>
      </c>
      <c r="G29" s="439" t="s">
        <v>720</v>
      </c>
      <c r="J29" s="132"/>
      <c r="K29" s="132"/>
      <c r="L29" s="132"/>
      <c r="M29" s="132"/>
      <c r="N29" s="132"/>
      <c r="O29" s="132"/>
      <c r="P29" s="429"/>
    </row>
    <row r="30" spans="1:16" s="440" customFormat="1" ht="52.5" customHeight="1">
      <c r="A30" s="436"/>
      <c r="B30" s="437"/>
      <c r="C30" s="442" t="s">
        <v>130</v>
      </c>
      <c r="D30" s="442" t="s">
        <v>730</v>
      </c>
      <c r="E30" s="442" t="s">
        <v>181</v>
      </c>
      <c r="F30" s="442" t="s">
        <v>654</v>
      </c>
      <c r="G30" s="443" t="s">
        <v>654</v>
      </c>
      <c r="J30" s="132"/>
      <c r="K30" s="132"/>
      <c r="L30" s="132"/>
      <c r="M30" s="132"/>
      <c r="N30" s="132"/>
      <c r="O30" s="132"/>
      <c r="P30" s="429"/>
    </row>
    <row r="31" spans="1:16">
      <c r="A31" s="436">
        <f>+A24+1</f>
        <v>15</v>
      </c>
      <c r="B31" s="444" t="s">
        <v>725</v>
      </c>
      <c r="C31" s="456">
        <v>370140</v>
      </c>
      <c r="D31" s="446"/>
      <c r="E31" s="446">
        <v>2275805</v>
      </c>
      <c r="F31" s="446"/>
      <c r="G31" s="447">
        <v>4427016.7799999993</v>
      </c>
      <c r="J31" s="132"/>
      <c r="K31" s="132"/>
      <c r="L31" s="132"/>
      <c r="M31" s="132"/>
      <c r="N31" s="132"/>
      <c r="O31" s="132"/>
      <c r="P31" s="429"/>
    </row>
    <row r="32" spans="1:16">
      <c r="A32" s="436">
        <f>+A31+1</f>
        <v>16</v>
      </c>
      <c r="B32" s="444" t="s">
        <v>321</v>
      </c>
      <c r="C32" s="446">
        <v>396047</v>
      </c>
      <c r="D32" s="446"/>
      <c r="E32" s="446">
        <v>2352865</v>
      </c>
      <c r="F32" s="446"/>
      <c r="G32" s="446">
        <v>4596643.479166666</v>
      </c>
      <c r="J32" s="132"/>
      <c r="K32" s="132"/>
      <c r="L32" s="132"/>
      <c r="M32" s="132"/>
      <c r="N32" s="132"/>
      <c r="O32" s="132"/>
      <c r="P32" s="429"/>
    </row>
    <row r="33" spans="1:16">
      <c r="A33" s="436">
        <f t="shared" ref="A33:A44" si="2">+A32+1</f>
        <v>17</v>
      </c>
      <c r="B33" s="448" t="s">
        <v>514</v>
      </c>
      <c r="C33" s="446">
        <v>421956</v>
      </c>
      <c r="D33" s="446"/>
      <c r="E33" s="446">
        <v>2430868</v>
      </c>
      <c r="F33" s="446"/>
      <c r="G33" s="446">
        <v>4766270.1783333328</v>
      </c>
      <c r="J33" s="132"/>
      <c r="K33" s="132"/>
      <c r="L33" s="132"/>
      <c r="M33" s="132"/>
      <c r="N33" s="132"/>
      <c r="O33" s="132"/>
      <c r="P33" s="429"/>
    </row>
    <row r="34" spans="1:16">
      <c r="A34" s="436">
        <f t="shared" si="2"/>
        <v>18</v>
      </c>
      <c r="B34" s="448" t="s">
        <v>726</v>
      </c>
      <c r="C34" s="446">
        <v>447868</v>
      </c>
      <c r="D34" s="446"/>
      <c r="E34" s="446">
        <v>2465189</v>
      </c>
      <c r="F34" s="446"/>
      <c r="G34" s="446">
        <v>4935896.8774999995</v>
      </c>
      <c r="J34" s="132"/>
      <c r="K34" s="132"/>
      <c r="L34" s="132"/>
      <c r="M34" s="132"/>
      <c r="N34" s="132"/>
      <c r="O34" s="132"/>
      <c r="P34" s="429"/>
    </row>
    <row r="35" spans="1:16">
      <c r="A35" s="436">
        <f t="shared" si="2"/>
        <v>19</v>
      </c>
      <c r="B35" s="448" t="s">
        <v>323</v>
      </c>
      <c r="C35" s="446">
        <v>473781</v>
      </c>
      <c r="D35" s="446"/>
      <c r="E35" s="446">
        <v>2542973</v>
      </c>
      <c r="F35" s="446"/>
      <c r="G35" s="446">
        <v>5105523.5766666662</v>
      </c>
      <c r="J35" s="132"/>
      <c r="K35" s="132"/>
      <c r="L35" s="132"/>
      <c r="M35" s="132"/>
      <c r="N35" s="132"/>
      <c r="O35" s="132"/>
      <c r="P35" s="429"/>
    </row>
    <row r="36" spans="1:16">
      <c r="A36" s="436">
        <f t="shared" si="2"/>
        <v>20</v>
      </c>
      <c r="B36" s="448" t="s">
        <v>324</v>
      </c>
      <c r="C36" s="446">
        <v>499694</v>
      </c>
      <c r="D36" s="446"/>
      <c r="E36" s="446">
        <v>2621386</v>
      </c>
      <c r="F36" s="446"/>
      <c r="G36" s="446">
        <v>5275150.2758333329</v>
      </c>
      <c r="J36" s="132"/>
      <c r="K36" s="132"/>
      <c r="L36" s="132"/>
      <c r="M36" s="132"/>
      <c r="N36" s="132"/>
      <c r="O36" s="132"/>
      <c r="P36" s="429"/>
    </row>
    <row r="37" spans="1:16">
      <c r="A37" s="436">
        <f t="shared" si="2"/>
        <v>21</v>
      </c>
      <c r="B37" s="448" t="s">
        <v>48</v>
      </c>
      <c r="C37" s="446">
        <v>525608</v>
      </c>
      <c r="D37" s="446"/>
      <c r="E37" s="446">
        <v>2634590</v>
      </c>
      <c r="F37" s="446"/>
      <c r="G37" s="446">
        <v>5444776.9749999996</v>
      </c>
      <c r="J37" s="132"/>
      <c r="K37" s="132"/>
      <c r="L37" s="132"/>
      <c r="M37" s="132"/>
      <c r="N37" s="132"/>
      <c r="O37" s="132"/>
      <c r="P37" s="429"/>
    </row>
    <row r="38" spans="1:16">
      <c r="A38" s="436">
        <f t="shared" si="2"/>
        <v>22</v>
      </c>
      <c r="B38" s="448" t="s">
        <v>325</v>
      </c>
      <c r="C38" s="446">
        <v>551520</v>
      </c>
      <c r="D38" s="446"/>
      <c r="E38" s="446">
        <v>2714878</v>
      </c>
      <c r="F38" s="446"/>
      <c r="G38" s="446">
        <v>5614403.6741666663</v>
      </c>
      <c r="J38" s="132"/>
      <c r="K38" s="132"/>
      <c r="L38" s="132"/>
      <c r="M38" s="132"/>
      <c r="N38" s="132"/>
      <c r="O38" s="132"/>
      <c r="P38" s="429"/>
    </row>
    <row r="39" spans="1:16">
      <c r="A39" s="436">
        <f t="shared" si="2"/>
        <v>23</v>
      </c>
      <c r="B39" s="448" t="s">
        <v>727</v>
      </c>
      <c r="C39" s="446">
        <v>577420</v>
      </c>
      <c r="D39" s="446"/>
      <c r="E39" s="446">
        <v>2796289</v>
      </c>
      <c r="F39" s="446"/>
      <c r="G39" s="446">
        <v>5784030.3733333331</v>
      </c>
      <c r="J39" s="132"/>
      <c r="K39" s="132"/>
      <c r="L39" s="132"/>
      <c r="M39" s="132"/>
      <c r="N39" s="132"/>
      <c r="O39" s="132"/>
      <c r="P39" s="429"/>
    </row>
    <row r="40" spans="1:16">
      <c r="A40" s="436">
        <f t="shared" si="2"/>
        <v>24</v>
      </c>
      <c r="B40" s="448" t="s">
        <v>328</v>
      </c>
      <c r="C40" s="446">
        <v>603339</v>
      </c>
      <c r="D40" s="446"/>
      <c r="E40" s="446">
        <v>2836970</v>
      </c>
      <c r="F40" s="446"/>
      <c r="G40" s="446">
        <v>5953657.0724999998</v>
      </c>
      <c r="J40" s="132"/>
      <c r="K40" s="132"/>
      <c r="L40" s="132"/>
      <c r="M40" s="132"/>
      <c r="N40" s="132"/>
      <c r="O40" s="132"/>
      <c r="P40" s="429"/>
    </row>
    <row r="41" spans="1:16">
      <c r="A41" s="436">
        <f t="shared" si="2"/>
        <v>25</v>
      </c>
      <c r="B41" s="448" t="s">
        <v>515</v>
      </c>
      <c r="C41" s="446">
        <v>629254</v>
      </c>
      <c r="D41" s="446"/>
      <c r="E41" s="446">
        <v>2920372</v>
      </c>
      <c r="F41" s="446"/>
      <c r="G41" s="446">
        <v>6123283.7716666665</v>
      </c>
      <c r="J41" s="132"/>
      <c r="K41" s="132"/>
      <c r="L41" s="132"/>
      <c r="M41" s="132"/>
      <c r="N41" s="132"/>
      <c r="O41" s="132"/>
      <c r="P41" s="429"/>
    </row>
    <row r="42" spans="1:16">
      <c r="A42" s="436">
        <f t="shared" si="2"/>
        <v>26</v>
      </c>
      <c r="B42" s="448" t="s">
        <v>516</v>
      </c>
      <c r="C42" s="446">
        <v>655171</v>
      </c>
      <c r="D42" s="446"/>
      <c r="E42" s="446">
        <v>3004888</v>
      </c>
      <c r="F42" s="446"/>
      <c r="G42" s="446">
        <v>6292910.4708333332</v>
      </c>
      <c r="J42" s="132"/>
      <c r="K42" s="132"/>
      <c r="L42" s="132"/>
      <c r="M42" s="132"/>
      <c r="N42" s="132"/>
      <c r="O42" s="132"/>
      <c r="P42" s="429"/>
    </row>
    <row r="43" spans="1:16">
      <c r="A43" s="449">
        <f t="shared" si="2"/>
        <v>27</v>
      </c>
      <c r="B43" s="450" t="s">
        <v>728</v>
      </c>
      <c r="C43" s="446">
        <v>681140</v>
      </c>
      <c r="D43" s="446"/>
      <c r="E43" s="446">
        <v>2918283</v>
      </c>
      <c r="F43" s="446"/>
      <c r="G43" s="446">
        <v>6462537.1699999999</v>
      </c>
      <c r="J43" s="132"/>
      <c r="K43" s="132"/>
      <c r="L43" s="132"/>
      <c r="M43" s="132"/>
      <c r="N43" s="132"/>
      <c r="O43" s="132"/>
      <c r="P43" s="429"/>
    </row>
    <row r="44" spans="1:16" ht="13" thickBot="1">
      <c r="A44" s="451">
        <f t="shared" si="2"/>
        <v>28</v>
      </c>
      <c r="B44" s="1941" t="s">
        <v>1072</v>
      </c>
      <c r="C44" s="1942">
        <f>SUM(C31:C43)/13</f>
        <v>525610.61538461538</v>
      </c>
      <c r="D44" s="1942">
        <f>SUM(D31:D43)/13</f>
        <v>0</v>
      </c>
      <c r="E44" s="1942">
        <f>SUM(E31:E43)/13</f>
        <v>2655027.3846153845</v>
      </c>
      <c r="F44" s="1942">
        <f>SUM(F31:F43)/13</f>
        <v>0</v>
      </c>
      <c r="G44" s="1943">
        <f>SUM(G31:G43)/13</f>
        <v>5444776.9749999996</v>
      </c>
      <c r="J44" s="132"/>
      <c r="K44" s="132"/>
      <c r="L44" s="132"/>
      <c r="M44" s="132"/>
      <c r="N44" s="132"/>
      <c r="O44" s="132"/>
      <c r="P44" s="429"/>
    </row>
    <row r="45" spans="1:16" ht="13" thickTop="1">
      <c r="A45" s="423"/>
      <c r="B45" s="452"/>
      <c r="C45" s="453"/>
      <c r="D45" s="453"/>
      <c r="E45" s="453"/>
      <c r="F45" s="454"/>
      <c r="G45" s="454"/>
      <c r="H45" s="132"/>
      <c r="I45" s="132"/>
      <c r="J45" s="132"/>
      <c r="K45" s="132"/>
      <c r="L45" s="132"/>
      <c r="M45" s="132"/>
      <c r="N45" s="132"/>
      <c r="O45" s="132"/>
      <c r="P45" s="429"/>
    </row>
    <row r="46" spans="1:16" s="476" customFormat="1">
      <c r="A46" s="473">
        <f>+A44+1</f>
        <v>29</v>
      </c>
      <c r="B46" s="474" t="str">
        <f>"Transmission Accumulated,  net of GSU and Excluded- Ln "&amp;A24&amp;" Col "&amp;E9&amp;" less Ln "&amp;A44&amp;" Cols. "&amp;F29&amp;" &amp; "&amp;G29</f>
        <v>Transmission Accumulated,  net of GSU and Excluded- Ln 14 Col (d) less Ln 28 Cols. (e) &amp; (f)</v>
      </c>
      <c r="C46" s="475"/>
      <c r="D46" s="475"/>
      <c r="G46" s="477">
        <f>+E24-F44-G44</f>
        <v>80494932.33269231</v>
      </c>
      <c r="H46" s="478"/>
      <c r="I46" s="478"/>
      <c r="J46" s="478"/>
      <c r="K46" s="475"/>
      <c r="L46" s="475"/>
      <c r="M46" s="475"/>
      <c r="N46" s="479"/>
      <c r="O46" s="479"/>
      <c r="P46" s="480"/>
    </row>
    <row r="47" spans="1:16">
      <c r="A47" s="423"/>
      <c r="B47" s="452"/>
      <c r="C47" s="453"/>
      <c r="D47" s="453"/>
      <c r="E47" s="453"/>
      <c r="F47" s="454"/>
      <c r="G47" s="454"/>
      <c r="H47" s="454"/>
      <c r="I47" s="454"/>
      <c r="J47" s="454"/>
      <c r="K47" s="453"/>
      <c r="L47" s="453"/>
      <c r="M47" s="453"/>
      <c r="N47" s="458"/>
      <c r="O47" s="458"/>
      <c r="P47" s="429"/>
    </row>
    <row r="48" spans="1:16">
      <c r="A48" s="423"/>
      <c r="B48" s="452"/>
      <c r="C48" s="453"/>
      <c r="D48" s="453"/>
      <c r="E48" s="453"/>
      <c r="F48" s="454"/>
      <c r="G48" s="454"/>
      <c r="H48" s="454"/>
      <c r="I48" s="454"/>
      <c r="J48" s="454"/>
      <c r="K48" s="453"/>
      <c r="L48" s="453"/>
      <c r="M48" s="453"/>
      <c r="N48" s="458"/>
      <c r="O48" s="458"/>
      <c r="P48" s="429"/>
    </row>
    <row r="49" spans="1:8">
      <c r="A49" s="470"/>
      <c r="B49" s="470"/>
      <c r="C49" s="470"/>
      <c r="D49" s="470"/>
      <c r="E49" s="470"/>
      <c r="F49" s="470"/>
      <c r="G49" s="470"/>
      <c r="H49" s="470"/>
    </row>
    <row r="50" spans="1:8">
      <c r="A50" s="470"/>
      <c r="B50" s="470"/>
      <c r="C50" s="470"/>
      <c r="D50" s="470"/>
      <c r="E50" s="470"/>
      <c r="F50" s="470"/>
      <c r="G50" s="470"/>
      <c r="H50" s="470"/>
    </row>
  </sheetData>
  <mergeCells count="6">
    <mergeCell ref="C27:G27"/>
    <mergeCell ref="A2:H2"/>
    <mergeCell ref="A3:H3"/>
    <mergeCell ref="A4:H4"/>
    <mergeCell ref="A5:H5"/>
    <mergeCell ref="C7:H7"/>
  </mergeCells>
  <pageMargins left="0.7" right="0.7" top="0.75" bottom="0.75" header="0.3" footer="0.3"/>
  <pageSetup scale="56" orientation="portrait" cellComments="asDisplayed" r:id="rId1"/>
  <headerFooter>
    <oddHeader>&amp;RAEP - SPP Transco Formula Rate
TCOS - WS A-2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19"/>
  <sheetViews>
    <sheetView zoomScaleNormal="100" workbookViewId="0">
      <selection activeCell="B12" sqref="B12:D12"/>
    </sheetView>
  </sheetViews>
  <sheetFormatPr defaultColWidth="9.1796875" defaultRowHeight="12.5"/>
  <cols>
    <col min="1" max="1" width="9.1796875" style="482"/>
    <col min="2" max="3" width="27.7265625" style="482" customWidth="1"/>
    <col min="4" max="4" width="41.26953125" style="482" customWidth="1"/>
    <col min="5" max="16384" width="9.1796875" style="482"/>
  </cols>
  <sheetData>
    <row r="1" spans="1:13" ht="15.5">
      <c r="A1" s="481"/>
    </row>
    <row r="2" spans="1:13" ht="15.5">
      <c r="A2" s="1996" t="str">
        <f>+'OKT TCOS'!F4</f>
        <v xml:space="preserve">AEP West SPP Member Transmission Companies </v>
      </c>
      <c r="B2" s="1996"/>
      <c r="C2" s="1996"/>
      <c r="D2" s="1996"/>
      <c r="E2" s="278"/>
      <c r="F2" s="278"/>
      <c r="G2" s="278"/>
      <c r="H2" s="278"/>
      <c r="I2" s="278"/>
      <c r="J2" s="278"/>
      <c r="K2" s="278"/>
      <c r="L2" s="278"/>
      <c r="M2" s="278"/>
    </row>
    <row r="3" spans="1:13" ht="15.5">
      <c r="A3" s="1990" t="str">
        <f>+'OKT WS A-1 - Plant'!A3</f>
        <v xml:space="preserve">Actual / Projected 2019 Rate Year Cost of Service Formula Rate </v>
      </c>
      <c r="B3" s="1990"/>
      <c r="C3" s="1990"/>
      <c r="D3" s="1990"/>
      <c r="E3" s="422"/>
      <c r="F3" s="422"/>
      <c r="G3" s="422"/>
      <c r="H3" s="422"/>
      <c r="I3" s="422"/>
      <c r="J3" s="422"/>
      <c r="K3" s="422"/>
      <c r="L3" s="422"/>
      <c r="M3" s="422"/>
    </row>
    <row r="4" spans="1:13" ht="15.5">
      <c r="A4" s="1991" t="s">
        <v>626</v>
      </c>
      <c r="B4" s="1991"/>
      <c r="C4" s="1991"/>
      <c r="D4" s="1991"/>
      <c r="E4" s="422"/>
      <c r="F4" s="422"/>
      <c r="G4" s="422"/>
      <c r="H4" s="422"/>
      <c r="I4" s="422"/>
      <c r="J4" s="422"/>
      <c r="K4" s="422"/>
      <c r="L4" s="422"/>
      <c r="M4" s="422"/>
    </row>
    <row r="5" spans="1:13" ht="15.5">
      <c r="A5" s="1997" t="str">
        <f>+'OKT TCOS'!F8</f>
        <v>AEP OKLAHOMA TRANSMISSION COMPANY, INC.</v>
      </c>
      <c r="B5" s="1997"/>
      <c r="C5" s="1997"/>
      <c r="D5" s="1997"/>
      <c r="E5" s="483"/>
      <c r="F5" s="483"/>
      <c r="G5" s="483"/>
      <c r="H5" s="483"/>
      <c r="I5" s="483"/>
      <c r="J5" s="483"/>
      <c r="K5" s="483"/>
      <c r="L5" s="483"/>
      <c r="M5" s="483"/>
    </row>
    <row r="6" spans="1:13" ht="13">
      <c r="A6" s="484"/>
      <c r="B6" s="484"/>
      <c r="C6" s="484"/>
      <c r="D6" s="484"/>
    </row>
    <row r="7" spans="1:13" ht="14">
      <c r="A7" s="485" t="s">
        <v>526</v>
      </c>
      <c r="B7" s="486"/>
      <c r="C7" s="487" t="s">
        <v>344</v>
      </c>
      <c r="D7" s="488" t="s">
        <v>308</v>
      </c>
    </row>
    <row r="8" spans="1:13" ht="14">
      <c r="A8" s="489"/>
      <c r="B8" s="490"/>
      <c r="C8" s="491"/>
      <c r="D8" s="491"/>
    </row>
    <row r="9" spans="1:13" ht="14">
      <c r="A9" s="492">
        <v>1</v>
      </c>
      <c r="B9" s="493" t="s">
        <v>528</v>
      </c>
      <c r="C9" s="494"/>
      <c r="D9" s="446">
        <v>0</v>
      </c>
    </row>
    <row r="10" spans="1:13" ht="14">
      <c r="A10" s="494"/>
      <c r="B10" s="494"/>
      <c r="C10" s="494"/>
      <c r="D10" s="494"/>
    </row>
    <row r="11" spans="1:13" ht="14">
      <c r="A11" s="494"/>
      <c r="B11" s="494"/>
      <c r="C11" s="494"/>
      <c r="D11" s="494"/>
    </row>
    <row r="12" spans="1:13" ht="119.25" customHeight="1">
      <c r="A12" s="495" t="s">
        <v>527</v>
      </c>
      <c r="B12" s="1998" t="s">
        <v>621</v>
      </c>
      <c r="C12" s="1998"/>
      <c r="D12" s="1998"/>
    </row>
    <row r="13" spans="1:13" ht="14">
      <c r="A13" s="494"/>
      <c r="B13" s="494"/>
      <c r="C13" s="494"/>
      <c r="D13" s="494"/>
    </row>
    <row r="14" spans="1:13" ht="14">
      <c r="A14" s="494"/>
      <c r="B14" s="494"/>
      <c r="C14" s="494"/>
      <c r="D14" s="494"/>
    </row>
    <row r="15" spans="1:13" s="497" customFormat="1" ht="14">
      <c r="A15" s="496"/>
      <c r="B15" s="496"/>
      <c r="C15" s="496"/>
      <c r="D15" s="496"/>
    </row>
    <row r="16" spans="1:13" s="497" customFormat="1" ht="14">
      <c r="A16" s="498"/>
      <c r="B16" s="499"/>
      <c r="C16" s="496"/>
      <c r="D16" s="496"/>
    </row>
    <row r="17" spans="1:2" ht="15" customHeight="1">
      <c r="A17" s="500"/>
    </row>
    <row r="18" spans="1:2" ht="15.5">
      <c r="B18" s="501"/>
    </row>
    <row r="19" spans="1:2" ht="15.5">
      <c r="B19" s="501"/>
    </row>
  </sheetData>
  <mergeCells count="5">
    <mergeCell ref="A2:D2"/>
    <mergeCell ref="A3:D3"/>
    <mergeCell ref="A4:D4"/>
    <mergeCell ref="A5:D5"/>
    <mergeCell ref="B12:D12"/>
  </mergeCells>
  <pageMargins left="0.7" right="0.7" top="0.75" bottom="0.75" header="0.3" footer="0.3"/>
  <pageSetup scale="85" fitToHeight="0" orientation="portrait" r:id="rId1"/>
  <headerFooter>
    <oddHeader xml:space="preserve">&amp;RAEP - SPP Transco Formula Rate
TCOS - WS B
Page: &amp;P of &amp;N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428D5968-B01C-4B90-BE1F-85D844E624F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56</vt:i4>
      </vt:variant>
      <vt:variant>
        <vt:lpstr>Named Ranges</vt:lpstr>
      </vt:variant>
      <vt:variant>
        <vt:i4>12</vt:i4>
      </vt:variant>
    </vt:vector>
  </HeadingPairs>
  <TitlesOfParts>
    <vt:vector size="68" baseType="lpstr">
      <vt:lpstr>Zonal Rates</vt:lpstr>
      <vt:lpstr>Sch 1 Rates</vt:lpstr>
      <vt:lpstr>OKT Sch 11 Rates</vt:lpstr>
      <vt:lpstr>SWT Sch 11 Rates</vt:lpstr>
      <vt:lpstr>Load WS</vt:lpstr>
      <vt:lpstr>OKT TCOS</vt:lpstr>
      <vt:lpstr>OKT WS A-1 - Plant</vt:lpstr>
      <vt:lpstr>OKT WS A-2 Accumulated Depn</vt:lpstr>
      <vt:lpstr>OKT WS B - Facility credits</vt:lpstr>
      <vt:lpstr>OKT WS C ADIT &amp; ADITC</vt:lpstr>
      <vt:lpstr>OKT WS C-1 ADIT EOY</vt:lpstr>
      <vt:lpstr>OKT WS C-2 ADIT BOY</vt:lpstr>
      <vt:lpstr>OKT WS C-3 ADIT Proration</vt:lpstr>
      <vt:lpstr>OKT WS C-4 Excess FIT</vt:lpstr>
      <vt:lpstr>OKT WS D Working Capital</vt:lpstr>
      <vt:lpstr>OKT WS E IPP Credits</vt:lpstr>
      <vt:lpstr>OKT WS F BPU ATRR</vt:lpstr>
      <vt:lpstr>OKT WS G BPU ATRR</vt:lpstr>
      <vt:lpstr>OKT WS H Rev Credits</vt:lpstr>
      <vt:lpstr>OKT WS I Exp Adj</vt:lpstr>
      <vt:lpstr>OKT WS J Misc Exp</vt:lpstr>
      <vt:lpstr>OKT WS K State Taxes</vt:lpstr>
      <vt:lpstr>OKT WS L Other Taxes</vt:lpstr>
      <vt:lpstr>OKT WS M - Cost of Capital</vt:lpstr>
      <vt:lpstr>OKT WS N Sch 11 TU</vt:lpstr>
      <vt:lpstr>OKT WS O Sch 9 NITS TU</vt:lpstr>
      <vt:lpstr>OKT WS P Sch 1 NITS TU</vt:lpstr>
      <vt:lpstr>OKT WS Q Interest Rate</vt:lpstr>
      <vt:lpstr>OKT WS R Unfunded Reserves</vt:lpstr>
      <vt:lpstr>OKT WS S Reg Assets</vt:lpstr>
      <vt:lpstr>OKT WS T - Dep Rates</vt:lpstr>
      <vt:lpstr>SWT TCOS</vt:lpstr>
      <vt:lpstr>SWT WS A-1 - Plant</vt:lpstr>
      <vt:lpstr>SWT WS A-2 Accumulated Depn</vt:lpstr>
      <vt:lpstr>SWT WS B - Facility credits</vt:lpstr>
      <vt:lpstr>SWT WS C ADIT &amp; ADITC</vt:lpstr>
      <vt:lpstr>SWT WS C-1 ADIT EOY</vt:lpstr>
      <vt:lpstr>SWT WS C-2 ADIT BOY</vt:lpstr>
      <vt:lpstr>SWT WS C-3 ADIT Proration</vt:lpstr>
      <vt:lpstr>SWT WS C-4 Excess FIT</vt:lpstr>
      <vt:lpstr>SWT WS D Working Capital</vt:lpstr>
      <vt:lpstr>SWT WS E IPP Credits</vt:lpstr>
      <vt:lpstr>SWT WS F BPU ATRR</vt:lpstr>
      <vt:lpstr>SWT WS G BPU ATRR</vt:lpstr>
      <vt:lpstr>SWT WS H Rev Credits</vt:lpstr>
      <vt:lpstr>SWT WS I Exp Adj</vt:lpstr>
      <vt:lpstr>SWT WS J Misc Exp</vt:lpstr>
      <vt:lpstr>SWT WS K State Taxes</vt:lpstr>
      <vt:lpstr>SWT WS L Other Taxes</vt:lpstr>
      <vt:lpstr>SWT WS M - Cost of Capital</vt:lpstr>
      <vt:lpstr>SWT WS N Sch 11 TU</vt:lpstr>
      <vt:lpstr>SWT WS O Sch 9 NITS TU</vt:lpstr>
      <vt:lpstr>SWT WS P Sch 1 NITS TU</vt:lpstr>
      <vt:lpstr>SWT WS Q Interest Rate</vt:lpstr>
      <vt:lpstr>SWT WS R Unfunded Reserves</vt:lpstr>
      <vt:lpstr>SWT WS S Reg Assets</vt:lpstr>
      <vt:lpstr>'OKT Sch 11 Rates'!Print_Area</vt:lpstr>
      <vt:lpstr>'OKT TCOS'!Print_Area</vt:lpstr>
      <vt:lpstr>'OKT WS F BPU ATRR'!Print_Area</vt:lpstr>
      <vt:lpstr>'OKT WS G BPU ATRR'!Print_Area</vt:lpstr>
      <vt:lpstr>'OKT WS M - Cost of Capital'!Print_Area</vt:lpstr>
      <vt:lpstr>'SWT Sch 11 Rates'!Print_Area</vt:lpstr>
      <vt:lpstr>'SWT TCOS'!Print_Area</vt:lpstr>
      <vt:lpstr>'SWT WS F BPU ATRR'!Print_Area</vt:lpstr>
      <vt:lpstr>'SWT WS G BPU ATRR'!Print_Area</vt:lpstr>
      <vt:lpstr>'SWT WS M - Cost of Capital'!Print_Area</vt:lpstr>
      <vt:lpstr>'OKT Sch 11 Rates'!Print_Titles</vt:lpstr>
      <vt:lpstr>'SWT Sch 11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2018-11-06T21:14:34Z</dcterms:created>
  <dcterms:modified xsi:type="dcterms:W3CDTF">2020-07-02T18:05:33Z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3390ed3e-40d0-40aa-8498-8fd3f4aa51a1</vt:lpwstr>
  </property>
  <property fmtid="{D5CDD505-2E9C-101B-9397-08002B2CF9AE}" pid="3" name="bjSaver">
    <vt:lpwstr>clRxCTTKA7z930TtRLwKph96GxWYXtbn</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